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LOG" sheetId="1" r:id="rId4"/>
    <sheet state="hidden" name="InvestLog" sheetId="2" r:id="rId5"/>
    <sheet state="visible" name="RUBShares" sheetId="3" r:id="rId6"/>
    <sheet state="visible" name="USDShares" sheetId="4" r:id="rId7"/>
    <sheet state="visible" name="DIVERS" sheetId="5" r:id="rId8"/>
    <sheet state="visible" name="ShopList" sheetId="6" r:id="rId9"/>
    <sheet state="visible" name="Passive" sheetId="7" r:id="rId10"/>
    <sheet state="visible" name="Plan" sheetId="8" r:id="rId11"/>
    <sheet state="visible" name="Monthly" sheetId="9" r:id="rId12"/>
    <sheet state="visible" name="Yearly" sheetId="10" r:id="rId13"/>
    <sheet state="visible" name="DIVS" sheetId="11" r:id="rId14"/>
    <sheet state="visible" name="Пополнения" sheetId="12" r:id="rId15"/>
    <sheet state="visible" name="Покупка USD" sheetId="13" r:id="rId16"/>
  </sheets>
  <definedNames>
    <definedName hidden="1" localSheetId="10" name="_xlnm._FilterDatabase">DIVS!$A$1:$G$60</definedName>
  </definedNames>
  <calcPr/>
  <pivotCaches>
    <pivotCache cacheId="0" r:id="rId17"/>
  </pivotCache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2">
      <text>
        <t xml:space="preserve">Началось с пенсионной реформы. Надо откладывать деньги</t>
      </text>
    </comment>
    <comment authorId="0" ref="H3">
      <text>
        <t xml:space="preserve">ETF FXIT выглядел самым быстрорастущим и привлекательным вариантом среди всех ETF</t>
      </text>
    </comment>
    <comment authorId="0" ref="H4">
      <text>
        <t xml:space="preserve">Захотелось купить акции Apple:
1. Верю в компанию
2. Презентация осенью
3. Мог купить в июне за 2х180. Сейчас только за 210</t>
      </text>
    </comment>
    <comment authorId="0" ref="H5">
      <text>
        <t xml:space="preserve">Захотел - купил :)</t>
      </text>
    </comment>
    <comment authorId="0" ref="H6">
      <text>
        <t xml:space="preserve">Хочу акцию NVDA</t>
      </text>
    </comment>
    <comment authorId="0" ref="H7">
      <text>
        <t xml:space="preserve">Лишнее с зарплаты</t>
      </text>
    </comment>
    <comment authorId="0" ref="H8">
      <text>
        <t xml:space="preserve">Лишнее с зарплаты сразу в USD</t>
      </text>
    </comment>
    <comment authorId="0" ref="H9">
      <text>
        <t xml:space="preserve">Уж очень хочется NVDA</t>
      </text>
    </comment>
    <comment authorId="0" ref="H10">
      <text>
        <t xml:space="preserve">Доход с FXIT -&gt; USD для NVDA</t>
      </text>
    </comment>
    <comment authorId="0" ref="H11">
      <text>
        <t xml:space="preserve">1. Монополист на рынке
2. Презентация новых видюх в конце августа
3. Слухи про новый виток крипты. Мб 2 и 3 связаны
4. Стабильный рост акций</t>
      </text>
    </comment>
    <comment authorId="0" ref="H12">
      <text>
        <t xml:space="preserve">Рост по всем свечам (m/w/d) без нижнего хвоста</t>
      </text>
    </comment>
    <comment authorId="0" ref="H13">
      <text>
        <t xml:space="preserve">Нехуево так должно подрасти. Через пару дней еще и новый проц</t>
      </text>
    </comment>
    <comment authorId="0" ref="H14">
      <text>
        <t xml:space="preserve">Тупо по теханализу</t>
      </text>
    </comment>
    <comment authorId="0" ref="H15">
      <text>
        <t xml:space="preserve">Просто для капитала</t>
      </text>
    </comment>
  </commentList>
</comments>
</file>

<file path=xl/sharedStrings.xml><?xml version="1.0" encoding="utf-8"?>
<sst xmlns="http://schemas.openxmlformats.org/spreadsheetml/2006/main" count="894" uniqueCount="124">
  <si>
    <t>TOTAL</t>
  </si>
  <si>
    <t>Days</t>
  </si>
  <si>
    <t>InvShare</t>
  </si>
  <si>
    <t>DATE</t>
  </si>
  <si>
    <t>TICKER</t>
  </si>
  <si>
    <t>CUR</t>
  </si>
  <si>
    <t>SECTOR</t>
  </si>
  <si>
    <t>PRICE</t>
  </si>
  <si>
    <t>COUNT</t>
  </si>
  <si>
    <t>SUM</t>
  </si>
  <si>
    <t>COMISSION</t>
  </si>
  <si>
    <t>DIVS</t>
  </si>
  <si>
    <t>CASH</t>
  </si>
  <si>
    <t>TAX</t>
  </si>
  <si>
    <t>PROFIT</t>
  </si>
  <si>
    <t>PAYBACK</t>
  </si>
  <si>
    <t>DIV%</t>
  </si>
  <si>
    <t>NOW</t>
  </si>
  <si>
    <t>NOWSUM</t>
  </si>
  <si>
    <t>ROI</t>
  </si>
  <si>
    <t>YEARLY</t>
  </si>
  <si>
    <t>RUB</t>
  </si>
  <si>
    <t>USD</t>
  </si>
  <si>
    <t>Металл</t>
  </si>
  <si>
    <t>Химия</t>
  </si>
  <si>
    <t>Банки</t>
  </si>
  <si>
    <t>Энергетика</t>
  </si>
  <si>
    <t>Строительство</t>
  </si>
  <si>
    <t>Нефтегаз</t>
  </si>
  <si>
    <t>Логистика</t>
  </si>
  <si>
    <t>Телеком</t>
  </si>
  <si>
    <t>T</t>
  </si>
  <si>
    <t>IT</t>
  </si>
  <si>
    <t>XOM</t>
  </si>
  <si>
    <t>MRKP</t>
  </si>
  <si>
    <t>ABBV</t>
  </si>
  <si>
    <t>Медицина</t>
  </si>
  <si>
    <t>KO</t>
  </si>
  <si>
    <t>Потребление</t>
  </si>
  <si>
    <t>IBM</t>
  </si>
  <si>
    <t>PM</t>
  </si>
  <si>
    <t>HBAN</t>
  </si>
  <si>
    <t>EIX</t>
  </si>
  <si>
    <t>POLY</t>
  </si>
  <si>
    <t>Дата</t>
  </si>
  <si>
    <t>Пополнение счета</t>
  </si>
  <si>
    <t>Покупка</t>
  </si>
  <si>
    <t>Продажа</t>
  </si>
  <si>
    <t>Комиссия брокера</t>
  </si>
  <si>
    <t>Комиссия за операцию</t>
  </si>
  <si>
    <t>Валюта</t>
  </si>
  <si>
    <t>Цель</t>
  </si>
  <si>
    <t>Количество</t>
  </si>
  <si>
    <t>Result RUB</t>
  </si>
  <si>
    <t>Result USD</t>
  </si>
  <si>
    <t>FXIT</t>
  </si>
  <si>
    <t>?</t>
  </si>
  <si>
    <t>AAPL</t>
  </si>
  <si>
    <t>NVDA</t>
  </si>
  <si>
    <t>AMD</t>
  </si>
  <si>
    <t>NTAP</t>
  </si>
  <si>
    <t>YNDX</t>
  </si>
  <si>
    <t>SUM из NOWSUM</t>
  </si>
  <si>
    <t>Итого</t>
  </si>
  <si>
    <t>PHOR</t>
  </si>
  <si>
    <t>GMKN</t>
  </si>
  <si>
    <t>LSRG</t>
  </si>
  <si>
    <t>TATNP</t>
  </si>
  <si>
    <t>MTSS</t>
  </si>
  <si>
    <t>SBERP</t>
  </si>
  <si>
    <t>NMTP</t>
  </si>
  <si>
    <t>Step1</t>
  </si>
  <si>
    <t>LastShop:</t>
  </si>
  <si>
    <t>NextShop:</t>
  </si>
  <si>
    <t>Step2</t>
  </si>
  <si>
    <t>SHARE</t>
  </si>
  <si>
    <t>IDEAL</t>
  </si>
  <si>
    <t>DIFF</t>
  </si>
  <si>
    <t>COUNTBUY</t>
  </si>
  <si>
    <t>LOTS</t>
  </si>
  <si>
    <t>Cash</t>
  </si>
  <si>
    <t>Total</t>
  </si>
  <si>
    <t>Now 10% - 5%</t>
  </si>
  <si>
    <t>ИИС</t>
  </si>
  <si>
    <t>БС1</t>
  </si>
  <si>
    <t>Month</t>
  </si>
  <si>
    <t>SumDays</t>
  </si>
  <si>
    <t>Passive</t>
  </si>
  <si>
    <t>Sum</t>
  </si>
  <si>
    <t>YearAvg</t>
  </si>
  <si>
    <t>Goal (1k/1d)</t>
  </si>
  <si>
    <t>MovYearAvg</t>
  </si>
  <si>
    <t>AbsAVG</t>
  </si>
  <si>
    <t>100k/mo</t>
  </si>
  <si>
    <t>%PrevMonth</t>
  </si>
  <si>
    <t>%PrevYear</t>
  </si>
  <si>
    <t>Age</t>
  </si>
  <si>
    <t>Year</t>
  </si>
  <si>
    <t>IncomeY</t>
  </si>
  <si>
    <t>Inv</t>
  </si>
  <si>
    <t>IncomeM</t>
  </si>
  <si>
    <t>Divs</t>
  </si>
  <si>
    <t>DivsM</t>
  </si>
  <si>
    <t>MONTH</t>
  </si>
  <si>
    <t>Div</t>
  </si>
  <si>
    <t>IIS</t>
  </si>
  <si>
    <t>Growth</t>
  </si>
  <si>
    <t>YEAR</t>
  </si>
  <si>
    <t>Income</t>
  </si>
  <si>
    <t>IncomeCoum</t>
  </si>
  <si>
    <t>ROIALL%</t>
  </si>
  <si>
    <t>USDRUB</t>
  </si>
  <si>
    <t>SUMRUB</t>
  </si>
  <si>
    <t>date</t>
  </si>
  <si>
    <t>sum</t>
  </si>
  <si>
    <t>share1</t>
  </si>
  <si>
    <t>days1</t>
  </si>
  <si>
    <t>share2</t>
  </si>
  <si>
    <t>inv</t>
  </si>
  <si>
    <t>now</t>
  </si>
  <si>
    <t>roi</t>
  </si>
  <si>
    <t>yearly</t>
  </si>
  <si>
    <t>Without</t>
  </si>
  <si>
    <t>WithIIS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</si>
</sst>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[$р.-419]#,##0"/>
    <numFmt numFmtId="165" formatCode="dd.mm.yyyy"/>
    <numFmt numFmtId="166" formatCode="d.m.yyyy"/>
    <numFmt numFmtId="167" formatCode="0.000"/>
    <numFmt numFmtId="168" formatCode="0.0000"/>
    <numFmt numFmtId="169" formatCode="d/m"/>
    <numFmt numFmtId="170" formatCode="[$$]#,##0.00"/>
    <numFmt numFmtId="171" formatCode="dd/mm"/>
    <numFmt numFmtId="172" formatCode="[$р.-419]#,##0.00"/>
    <numFmt numFmtId="173" formatCode="#,##0;(#,##0)"/>
  </numFmts>
  <fonts count="33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u/>
      <color rgb="FF1155CC"/>
    </font>
    <font>
      <u/>
      <color rgb="FF0000FF"/>
    </font>
    <font>
      <u/>
      <color rgb="FF0000FF"/>
    </font>
    <font/>
    <font>
      <u/>
      <color rgb="FF0000FF"/>
    </font>
    <font>
      <u/>
      <color rgb="FF1155CC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0000FF"/>
    </font>
    <font>
      <u/>
      <color rgb="FF1155CC"/>
    </font>
    <font>
      <u/>
      <color rgb="FF1155CC"/>
    </font>
    <font>
      <u/>
      <color rgb="FF1155CC"/>
    </font>
    <font>
      <u/>
      <color rgb="FF1155CC"/>
      <name val="Arial"/>
    </font>
    <font>
      <u/>
      <color rgb="FF1155CC"/>
      <name val="Arial"/>
    </font>
    <font>
      <u/>
      <color rgb="FF0000FF"/>
    </font>
    <font>
      <color rgb="FF000000"/>
      <name val="Arial"/>
    </font>
    <font>
      <color rgb="FFFF9900"/>
      <name val="Arial"/>
    </font>
    <font>
      <b/>
      <color rgb="FFFF0000"/>
      <name val="Arial"/>
    </font>
    <font>
      <b/>
      <color rgb="FF000000"/>
      <name val="Arial"/>
    </font>
    <font>
      <color rgb="FFFF0000"/>
      <name val="Arial"/>
    </font>
    <font>
      <strike/>
      <color rgb="FFB7B7B7"/>
      <name val="Arial"/>
    </font>
    <font>
      <b/>
      <strike/>
      <color rgb="FFB7B7B7"/>
      <name val="Arial"/>
    </font>
    <font>
      <i/>
      <color theme="1"/>
      <name val="Arial"/>
    </font>
    <font>
      <sz val="11.0"/>
      <color rgb="FF000000"/>
      <name val="Inconsolata"/>
    </font>
    <font>
      <color rgb="FF999999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67C73"/>
        <bgColor rgb="FFE67C73"/>
      </patternFill>
    </fill>
    <fill>
      <patternFill patternType="solid">
        <fgColor rgb="FFF4C5C1"/>
        <bgColor rgb="FFF4C5C1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FBEEED"/>
        <bgColor rgb="FFFBEEED"/>
      </patternFill>
    </fill>
  </fills>
  <borders count="55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1" fillId="2" fontId="1" numFmtId="14" xfId="0" applyAlignment="1" applyBorder="1" applyFill="1" applyFont="1" applyNumberFormat="1">
      <alignment horizontal="center" readingOrder="0"/>
    </xf>
    <xf borderId="2" fillId="2" fontId="3" numFmtId="0" xfId="0" applyAlignment="1" applyBorder="1" applyFont="1">
      <alignment horizontal="center" readingOrder="0"/>
    </xf>
    <xf borderId="2" fillId="2" fontId="2" numFmtId="0" xfId="0" applyAlignment="1" applyBorder="1" applyFont="1">
      <alignment horizontal="center" readingOrder="0"/>
    </xf>
    <xf borderId="3" fillId="3" fontId="1" numFmtId="0" xfId="0" applyAlignment="1" applyBorder="1" applyFill="1" applyFont="1">
      <alignment horizontal="center" readingOrder="0"/>
    </xf>
    <xf borderId="2" fillId="2" fontId="1" numFmtId="0" xfId="0" applyAlignment="1" applyBorder="1" applyFont="1">
      <alignment horizontal="center"/>
    </xf>
    <xf borderId="3" fillId="3" fontId="1" numFmtId="1" xfId="0" applyAlignment="1" applyBorder="1" applyFont="1" applyNumberFormat="1">
      <alignment horizontal="center" readingOrder="0"/>
    </xf>
    <xf borderId="2" fillId="2" fontId="1" numFmtId="1" xfId="0" applyAlignment="1" applyBorder="1" applyFont="1" applyNumberFormat="1">
      <alignment horizontal="center" readingOrder="0"/>
    </xf>
    <xf borderId="4" fillId="2" fontId="1" numFmtId="3" xfId="0" applyAlignment="1" applyBorder="1" applyFont="1" applyNumberFormat="1">
      <alignment horizontal="center" vertical="center"/>
    </xf>
    <xf borderId="5" fillId="2" fontId="1" numFmtId="10" xfId="0" applyAlignment="1" applyBorder="1" applyFont="1" applyNumberFormat="1">
      <alignment horizontal="center" vertical="center"/>
    </xf>
    <xf borderId="3" fillId="3" fontId="1" numFmtId="10" xfId="0" applyAlignment="1" applyBorder="1" applyFont="1" applyNumberFormat="1">
      <alignment horizontal="center" vertical="center"/>
    </xf>
    <xf borderId="2" fillId="2" fontId="2" numFmtId="1" xfId="0" applyAlignment="1" applyBorder="1" applyFont="1" applyNumberFormat="1">
      <alignment horizontal="center" readingOrder="0"/>
    </xf>
    <xf borderId="3" fillId="3" fontId="2" numFmtId="1" xfId="0" applyAlignment="1" applyBorder="1" applyFont="1" applyNumberFormat="1">
      <alignment horizontal="center" readingOrder="0"/>
    </xf>
    <xf borderId="2" fillId="2" fontId="1" numFmtId="10" xfId="0" applyAlignment="1" applyBorder="1" applyFont="1" applyNumberFormat="1">
      <alignment horizontal="center"/>
    </xf>
    <xf borderId="3" fillId="3" fontId="1" numFmtId="10" xfId="0" applyAlignment="1" applyBorder="1" applyFont="1" applyNumberFormat="1">
      <alignment horizontal="center"/>
    </xf>
    <xf borderId="0" fillId="0" fontId="2" numFmtId="0" xfId="0" applyAlignment="1" applyFont="1">
      <alignment horizontal="center" vertical="center"/>
    </xf>
    <xf borderId="0" fillId="0" fontId="1" numFmtId="0" xfId="0" applyAlignment="1" applyFont="1">
      <alignment readingOrder="0"/>
    </xf>
    <xf borderId="0" fillId="0" fontId="1" numFmtId="164" xfId="0" applyFont="1" applyNumberFormat="1"/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6" fillId="0" fontId="2" numFmtId="0" xfId="0" applyAlignment="1" applyBorder="1" applyFont="1">
      <alignment horizontal="center" readingOrder="0"/>
    </xf>
    <xf borderId="7" fillId="0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horizontal="center" readingOrder="0"/>
    </xf>
    <xf borderId="9" fillId="0" fontId="2" numFmtId="0" xfId="0" applyAlignment="1" applyBorder="1" applyFont="1">
      <alignment horizontal="center" readingOrder="0"/>
    </xf>
    <xf borderId="0" fillId="0" fontId="2" numFmtId="0" xfId="0" applyFont="1"/>
    <xf borderId="0" fillId="0" fontId="1" numFmtId="10" xfId="0" applyFont="1" applyNumberFormat="1"/>
    <xf borderId="0" fillId="0" fontId="1" numFmtId="166" xfId="0" applyAlignment="1" applyFont="1" applyNumberFormat="1">
      <alignment horizontal="center" readingOrder="0" vertical="center"/>
    </xf>
    <xf borderId="10" fillId="0" fontId="1" numFmtId="166" xfId="0" applyAlignment="1" applyBorder="1" applyFont="1" applyNumberFormat="1">
      <alignment horizontal="center" readingOrder="0" vertical="center"/>
    </xf>
    <xf borderId="10" fillId="0" fontId="1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horizontal="center" vertical="center"/>
    </xf>
    <xf borderId="10" fillId="4" fontId="1" numFmtId="2" xfId="0" applyAlignment="1" applyBorder="1" applyFill="1" applyFont="1" applyNumberFormat="1">
      <alignment horizontal="center" vertical="center"/>
    </xf>
    <xf borderId="10" fillId="5" fontId="1" numFmtId="0" xfId="0" applyAlignment="1" applyBorder="1" applyFill="1" applyFont="1">
      <alignment horizontal="center" readingOrder="0" vertical="center"/>
    </xf>
    <xf borderId="10" fillId="5" fontId="1" numFmtId="1" xfId="0" applyAlignment="1" applyBorder="1" applyFont="1" applyNumberFormat="1">
      <alignment horizontal="center" readingOrder="0" vertical="center"/>
    </xf>
    <xf borderId="10" fillId="4" fontId="1" numFmtId="0" xfId="0" applyAlignment="1" applyBorder="1" applyFont="1">
      <alignment horizontal="center" readingOrder="0" vertical="center"/>
    </xf>
    <xf borderId="10" fillId="0" fontId="1" numFmtId="4" xfId="0" applyAlignment="1" applyBorder="1" applyFont="1" applyNumberFormat="1">
      <alignment horizontal="center" vertical="center"/>
    </xf>
    <xf borderId="10" fillId="0" fontId="1" numFmtId="10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center"/>
    </xf>
    <xf borderId="10" fillId="0" fontId="1" numFmtId="1" xfId="0" applyAlignment="1" applyBorder="1" applyFont="1" applyNumberFormat="1">
      <alignment horizontal="center"/>
    </xf>
    <xf borderId="10" fillId="0" fontId="1" numFmtId="10" xfId="0" applyAlignment="1" applyBorder="1" applyFont="1" applyNumberFormat="1">
      <alignment horizontal="center"/>
    </xf>
    <xf borderId="11" fillId="0" fontId="1" numFmtId="166" xfId="0" applyAlignment="1" applyBorder="1" applyFont="1" applyNumberFormat="1">
      <alignment horizontal="center" readingOrder="0" vertical="center"/>
    </xf>
    <xf borderId="11" fillId="0" fontId="4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horizontal="center" vertical="center"/>
    </xf>
    <xf borderId="11" fillId="4" fontId="1" numFmtId="2" xfId="0" applyAlignment="1" applyBorder="1" applyFont="1" applyNumberFormat="1">
      <alignment horizontal="center" vertical="center"/>
    </xf>
    <xf borderId="11" fillId="5" fontId="1" numFmtId="0" xfId="0" applyAlignment="1" applyBorder="1" applyFont="1">
      <alignment horizontal="center" readingOrder="0" vertical="center"/>
    </xf>
    <xf borderId="11" fillId="5" fontId="1" numFmtId="2" xfId="0" applyAlignment="1" applyBorder="1" applyFont="1" applyNumberFormat="1">
      <alignment horizontal="center" readingOrder="0" vertical="center"/>
    </xf>
    <xf borderId="11" fillId="4" fontId="1" numFmtId="0" xfId="0" applyAlignment="1" applyBorder="1" applyFont="1">
      <alignment horizontal="center" readingOrder="0" vertical="center"/>
    </xf>
    <xf borderId="11" fillId="0" fontId="1" numFmtId="4" xfId="0" applyAlignment="1" applyBorder="1" applyFont="1" applyNumberFormat="1">
      <alignment horizontal="center" vertical="center"/>
    </xf>
    <xf borderId="11" fillId="0" fontId="1" numFmtId="10" xfId="0" applyAlignment="1" applyBorder="1" applyFont="1" applyNumberFormat="1">
      <alignment horizontal="center" vertical="center"/>
    </xf>
    <xf borderId="11" fillId="0" fontId="1" numFmtId="0" xfId="0" applyAlignment="1" applyBorder="1" applyFont="1">
      <alignment horizontal="center"/>
    </xf>
    <xf borderId="12" fillId="0" fontId="1" numFmtId="10" xfId="0" applyAlignment="1" applyBorder="1" applyFont="1" applyNumberFormat="1">
      <alignment horizontal="center"/>
    </xf>
    <xf borderId="8" fillId="0" fontId="1" numFmtId="0" xfId="0" applyAlignment="1" applyBorder="1" applyFont="1">
      <alignment horizontal="center" vertical="center"/>
    </xf>
    <xf borderId="13" fillId="0" fontId="1" numFmtId="10" xfId="0" applyAlignment="1" applyBorder="1" applyFont="1" applyNumberFormat="1">
      <alignment horizontal="center" vertical="center"/>
    </xf>
    <xf borderId="8" fillId="0" fontId="1" numFmtId="10" xfId="0" applyAlignment="1" applyBorder="1" applyFont="1" applyNumberFormat="1">
      <alignment horizontal="center" vertical="center"/>
    </xf>
    <xf borderId="0" fillId="0" fontId="1" numFmtId="0" xfId="0" applyFont="1"/>
    <xf borderId="10" fillId="0" fontId="5" numFmtId="0" xfId="0" applyAlignment="1" applyBorder="1" applyFont="1">
      <alignment horizontal="center" readingOrder="0" vertical="center"/>
    </xf>
    <xf borderId="10" fillId="5" fontId="1" numFmtId="2" xfId="0" applyAlignment="1" applyBorder="1" applyFont="1" applyNumberFormat="1">
      <alignment horizontal="center" readingOrder="0" vertical="center"/>
    </xf>
    <xf borderId="14" fillId="0" fontId="1" numFmtId="10" xfId="0" applyAlignment="1" applyBorder="1" applyFont="1" applyNumberFormat="1">
      <alignment horizontal="center"/>
    </xf>
    <xf borderId="11" fillId="0" fontId="6" numFmtId="0" xfId="0" applyBorder="1" applyFont="1"/>
    <xf borderId="15" fillId="0" fontId="6" numFmtId="0" xfId="0" applyBorder="1" applyFont="1"/>
    <xf borderId="0" fillId="0" fontId="1" numFmtId="166" xfId="0" applyAlignment="1" applyFont="1" applyNumberFormat="1">
      <alignment horizontal="center" readingOrder="0"/>
    </xf>
    <xf borderId="10" fillId="0" fontId="1" numFmtId="166" xfId="0" applyAlignment="1" applyBorder="1" applyFont="1" applyNumberFormat="1">
      <alignment horizontal="center" readingOrder="0"/>
    </xf>
    <xf borderId="10" fillId="0" fontId="7" numFmtId="0" xfId="0" applyAlignment="1" applyBorder="1" applyFont="1">
      <alignment horizontal="center" readingOrder="0"/>
    </xf>
    <xf borderId="10" fillId="0" fontId="1" numFmtId="0" xfId="0" applyAlignment="1" applyBorder="1" applyFont="1">
      <alignment horizontal="center" readingOrder="0"/>
    </xf>
    <xf borderId="10" fillId="4" fontId="1" numFmtId="2" xfId="0" applyAlignment="1" applyBorder="1" applyFont="1" applyNumberFormat="1">
      <alignment horizontal="center" readingOrder="0"/>
    </xf>
    <xf borderId="10" fillId="5" fontId="1" numFmtId="0" xfId="0" applyAlignment="1" applyBorder="1" applyFont="1">
      <alignment horizontal="center"/>
    </xf>
    <xf borderId="10" fillId="4" fontId="1" numFmtId="1" xfId="0" applyAlignment="1" applyBorder="1" applyFont="1" applyNumberFormat="1">
      <alignment horizontal="center"/>
    </xf>
    <xf borderId="16" fillId="0" fontId="1" numFmtId="10" xfId="0" applyAlignment="1" applyBorder="1" applyFont="1" applyNumberFormat="1">
      <alignment horizontal="center" vertical="center"/>
    </xf>
    <xf borderId="16" fillId="0" fontId="1" numFmtId="10" xfId="0" applyAlignment="1" applyBorder="1" applyFont="1" applyNumberFormat="1">
      <alignment horizontal="center" readingOrder="0" vertical="center"/>
    </xf>
    <xf borderId="10" fillId="0" fontId="1" numFmtId="167" xfId="0" applyAlignment="1" applyBorder="1" applyFont="1" applyNumberFormat="1">
      <alignment horizontal="center" readingOrder="0"/>
    </xf>
    <xf borderId="10" fillId="4" fontId="1" numFmtId="2" xfId="0" applyAlignment="1" applyBorder="1" applyFont="1" applyNumberFormat="1">
      <alignment horizontal="center"/>
    </xf>
    <xf borderId="10" fillId="4" fontId="1" numFmtId="0" xfId="0" applyAlignment="1" applyBorder="1" applyFont="1">
      <alignment horizontal="center"/>
    </xf>
    <xf borderId="8" fillId="0" fontId="6" numFmtId="0" xfId="0" applyBorder="1" applyFont="1"/>
    <xf borderId="10" fillId="4" fontId="1" numFmtId="1" xfId="0" applyAlignment="1" applyBorder="1" applyFont="1" applyNumberFormat="1">
      <alignment horizontal="center" readingOrder="0"/>
    </xf>
    <xf borderId="10" fillId="5" fontId="1" numFmtId="0" xfId="0" applyAlignment="1" applyBorder="1" applyFont="1">
      <alignment horizontal="center" readingOrder="0"/>
    </xf>
    <xf borderId="10" fillId="4" fontId="1" numFmtId="0" xfId="0" applyAlignment="1" applyBorder="1" applyFont="1">
      <alignment horizontal="center" readingOrder="0"/>
    </xf>
    <xf borderId="10" fillId="0" fontId="1" numFmtId="1" xfId="0" applyAlignment="1" applyBorder="1" applyFont="1" applyNumberFormat="1">
      <alignment horizontal="center" vertical="center"/>
    </xf>
    <xf borderId="16" fillId="0" fontId="1" numFmtId="1" xfId="0" applyAlignment="1" applyBorder="1" applyFont="1" applyNumberFormat="1">
      <alignment horizontal="center" vertical="center"/>
    </xf>
    <xf borderId="10" fillId="0" fontId="8" numFmtId="0" xfId="0" applyAlignment="1" applyBorder="1" applyFont="1">
      <alignment horizontal="center" readingOrder="0"/>
    </xf>
    <xf borderId="10" fillId="0" fontId="1" numFmtId="2" xfId="0" applyAlignment="1" applyBorder="1" applyFont="1" applyNumberFormat="1">
      <alignment horizontal="center" readingOrder="0"/>
    </xf>
    <xf borderId="10" fillId="0" fontId="1" numFmtId="2" xfId="0" applyAlignment="1" applyBorder="1" applyFont="1" applyNumberFormat="1">
      <alignment horizontal="center" vertical="center"/>
    </xf>
    <xf borderId="10" fillId="5" fontId="1" numFmtId="2" xfId="0" applyAlignment="1" applyBorder="1" applyFont="1" applyNumberFormat="1">
      <alignment horizontal="center"/>
    </xf>
    <xf borderId="10" fillId="0" fontId="1" numFmtId="2" xfId="0" applyAlignment="1" applyBorder="1" applyFont="1" applyNumberFormat="1">
      <alignment horizontal="center"/>
    </xf>
    <xf borderId="16" fillId="0" fontId="1" numFmtId="2" xfId="0" applyAlignment="1" applyBorder="1" applyFont="1" applyNumberFormat="1">
      <alignment horizontal="center" vertical="center"/>
    </xf>
    <xf borderId="0" fillId="0" fontId="1" numFmtId="166" xfId="0" applyAlignment="1" applyFont="1" applyNumberFormat="1">
      <alignment horizontal="left" readingOrder="0"/>
    </xf>
    <xf borderId="0" fillId="0" fontId="2" numFmtId="166" xfId="0" applyAlignment="1" applyFont="1" applyNumberFormat="1">
      <alignment horizontal="center" readingOrder="0"/>
    </xf>
    <xf borderId="0" fillId="0" fontId="1" numFmtId="0" xfId="0" applyAlignment="1" applyFont="1">
      <alignment horizontal="left" readingOrder="0"/>
    </xf>
    <xf borderId="11" fillId="4" fontId="1" numFmtId="2" xfId="0" applyAlignment="1" applyBorder="1" applyFont="1" applyNumberFormat="1">
      <alignment horizontal="center" readingOrder="0" vertical="center"/>
    </xf>
    <xf borderId="11" fillId="4" fontId="1" numFmtId="1" xfId="0" applyAlignment="1" applyBorder="1" applyFont="1" applyNumberFormat="1">
      <alignment horizontal="center" readingOrder="0" vertical="center"/>
    </xf>
    <xf borderId="10" fillId="5" fontId="1" numFmtId="2" xfId="0" applyAlignment="1" applyBorder="1" applyFont="1" applyNumberFormat="1">
      <alignment horizontal="center" readingOrder="0"/>
    </xf>
    <xf borderId="8" fillId="0" fontId="1" numFmtId="2" xfId="0" applyAlignment="1" applyBorder="1" applyFont="1" applyNumberFormat="1">
      <alignment horizontal="center" vertical="center"/>
    </xf>
    <xf borderId="10" fillId="4" fontId="1" numFmtId="2" xfId="0" applyAlignment="1" applyBorder="1" applyFont="1" applyNumberFormat="1">
      <alignment horizontal="center" readingOrder="0" vertical="center"/>
    </xf>
    <xf borderId="0" fillId="0" fontId="1" numFmtId="1" xfId="0" applyFont="1" applyNumberFormat="1"/>
    <xf borderId="0" fillId="0" fontId="1" numFmtId="14" xfId="0" applyFont="1" applyNumberFormat="1"/>
    <xf borderId="17" fillId="0" fontId="1" numFmtId="165" xfId="0" applyAlignment="1" applyBorder="1" applyFont="1" applyNumberFormat="1">
      <alignment readingOrder="0"/>
    </xf>
    <xf borderId="18" fillId="0" fontId="1" numFmtId="0" xfId="0" applyAlignment="1" applyBorder="1" applyFont="1">
      <alignment readingOrder="0"/>
    </xf>
    <xf borderId="18" fillId="0" fontId="1" numFmtId="0" xfId="0" applyBorder="1" applyFont="1"/>
    <xf borderId="18" fillId="0" fontId="1" numFmtId="2" xfId="0" applyBorder="1" applyFont="1" applyNumberFormat="1"/>
    <xf borderId="19" fillId="0" fontId="1" numFmtId="0" xfId="0" applyBorder="1" applyFont="1"/>
    <xf borderId="20" fillId="0" fontId="1" numFmtId="165" xfId="0" applyAlignment="1" applyBorder="1" applyFont="1" applyNumberFormat="1">
      <alignment readingOrder="0"/>
    </xf>
    <xf borderId="13" fillId="0" fontId="1" numFmtId="0" xfId="0" applyAlignment="1" applyBorder="1" applyFont="1">
      <alignment readingOrder="0"/>
    </xf>
    <xf borderId="0" fillId="0" fontId="1" numFmtId="2" xfId="0" applyFont="1" applyNumberFormat="1"/>
    <xf borderId="13" fillId="0" fontId="1" numFmtId="0" xfId="0" applyBorder="1" applyFont="1"/>
    <xf borderId="14" fillId="0" fontId="1" numFmtId="165" xfId="0" applyAlignment="1" applyBorder="1" applyFont="1" applyNumberFormat="1">
      <alignment readingOrder="0"/>
    </xf>
    <xf borderId="21" fillId="0" fontId="1" numFmtId="0" xfId="0" applyBorder="1" applyFont="1"/>
    <xf borderId="21" fillId="0" fontId="1" numFmtId="0" xfId="0" applyAlignment="1" applyBorder="1" applyFont="1">
      <alignment readingOrder="0"/>
    </xf>
    <xf borderId="21" fillId="0" fontId="1" numFmtId="2" xfId="0" applyBorder="1" applyFont="1" applyNumberFormat="1"/>
    <xf borderId="22" fillId="0" fontId="1" numFmtId="0" xfId="0" applyAlignment="1" applyBorder="1" applyFont="1">
      <alignment readingOrder="0"/>
    </xf>
    <xf borderId="22" fillId="0" fontId="1" numFmtId="0" xfId="0" applyBorder="1" applyFont="1"/>
    <xf borderId="19" fillId="0" fontId="1" numFmtId="0" xfId="0" applyAlignment="1" applyBorder="1" applyFont="1">
      <alignment readingOrder="0"/>
    </xf>
    <xf borderId="17" fillId="0" fontId="1" numFmtId="166" xfId="0" applyAlignment="1" applyBorder="1" applyFont="1" applyNumberFormat="1">
      <alignment readingOrder="0"/>
    </xf>
    <xf borderId="12" fillId="0" fontId="1" numFmtId="166" xfId="0" applyAlignment="1" applyBorder="1" applyFont="1" applyNumberFormat="1">
      <alignment readingOrder="0"/>
    </xf>
    <xf borderId="23" fillId="0" fontId="1" numFmtId="0" xfId="0" applyBorder="1" applyFont="1"/>
    <xf borderId="23" fillId="0" fontId="1" numFmtId="0" xfId="0" applyAlignment="1" applyBorder="1" applyFont="1">
      <alignment readingOrder="0"/>
    </xf>
    <xf borderId="15" fillId="0" fontId="1" numFmtId="0" xfId="0" applyBorder="1" applyFont="1"/>
    <xf borderId="24" fillId="0" fontId="2" numFmtId="0" xfId="0" applyAlignment="1" applyBorder="1" applyFont="1">
      <alignment horizontal="center" readingOrder="0"/>
    </xf>
    <xf borderId="25" fillId="0" fontId="2" numFmtId="0" xfId="0" applyAlignment="1" applyBorder="1" applyFont="1">
      <alignment horizontal="center" readingOrder="0"/>
    </xf>
    <xf borderId="26" fillId="0" fontId="2" numFmtId="0" xfId="0" applyAlignment="1" applyBorder="1" applyFont="1">
      <alignment horizontal="center" readingOrder="0"/>
    </xf>
    <xf borderId="27" fillId="0" fontId="1" numFmtId="166" xfId="0" applyAlignment="1" applyBorder="1" applyFont="1" applyNumberFormat="1">
      <alignment horizontal="center" readingOrder="0" vertical="center"/>
    </xf>
    <xf borderId="28" fillId="0" fontId="9" numFmtId="0" xfId="0" applyAlignment="1" applyBorder="1" applyFont="1">
      <alignment horizontal="center" readingOrder="0" vertical="center"/>
    </xf>
    <xf borderId="28" fillId="0" fontId="1" numFmtId="1" xfId="0" applyAlignment="1" applyBorder="1" applyFont="1" applyNumberFormat="1">
      <alignment horizontal="center" readingOrder="0"/>
    </xf>
    <xf borderId="28" fillId="0" fontId="1" numFmtId="0" xfId="0" applyAlignment="1" applyBorder="1" applyFont="1">
      <alignment horizontal="center" readingOrder="0"/>
    </xf>
    <xf borderId="28" fillId="0" fontId="1" numFmtId="2" xfId="0" applyAlignment="1" applyBorder="1" applyFont="1" applyNumberFormat="1">
      <alignment horizontal="center" vertical="center"/>
    </xf>
    <xf borderId="28" fillId="0" fontId="1" numFmtId="2" xfId="0" applyAlignment="1" applyBorder="1" applyFont="1" applyNumberFormat="1">
      <alignment horizontal="center" readingOrder="0"/>
    </xf>
    <xf borderId="28" fillId="0" fontId="1" numFmtId="0" xfId="0" applyAlignment="1" applyBorder="1" applyFont="1">
      <alignment horizontal="center" readingOrder="0"/>
    </xf>
    <xf borderId="28" fillId="0" fontId="1" numFmtId="0" xfId="0" applyAlignment="1" applyBorder="1" applyFont="1">
      <alignment horizontal="center" readingOrder="0" vertical="center"/>
    </xf>
    <xf borderId="28" fillId="0" fontId="1" numFmtId="4" xfId="0" applyAlignment="1" applyBorder="1" applyFont="1" applyNumberFormat="1">
      <alignment horizontal="center" vertical="center"/>
    </xf>
    <xf borderId="28" fillId="0" fontId="1" numFmtId="10" xfId="0" applyAlignment="1" applyBorder="1" applyFont="1" applyNumberFormat="1">
      <alignment horizontal="center" vertical="center"/>
    </xf>
    <xf borderId="28" fillId="0" fontId="1" numFmtId="1" xfId="0" applyAlignment="1" applyBorder="1" applyFont="1" applyNumberFormat="1">
      <alignment horizontal="center"/>
    </xf>
    <xf borderId="28" fillId="0" fontId="1" numFmtId="10" xfId="0" applyAlignment="1" applyBorder="1" applyFont="1" applyNumberFormat="1">
      <alignment horizontal="center"/>
    </xf>
    <xf borderId="29" fillId="0" fontId="1" numFmtId="10" xfId="0" applyAlignment="1" applyBorder="1" applyFont="1" applyNumberFormat="1">
      <alignment horizontal="center"/>
    </xf>
    <xf borderId="30" fillId="0" fontId="1" numFmtId="166" xfId="0" applyAlignment="1" applyBorder="1" applyFont="1" applyNumberFormat="1">
      <alignment horizontal="center" readingOrder="0" vertical="center"/>
    </xf>
    <xf borderId="31" fillId="0" fontId="1" numFmtId="10" xfId="0" applyAlignment="1" applyBorder="1" applyFont="1" applyNumberFormat="1">
      <alignment horizontal="center"/>
    </xf>
    <xf borderId="32" fillId="0" fontId="1" numFmtId="166" xfId="0" applyAlignment="1" applyBorder="1" applyFont="1" applyNumberFormat="1">
      <alignment horizontal="center" readingOrder="0" vertical="center"/>
    </xf>
    <xf borderId="33" fillId="0" fontId="10" numFmtId="0" xfId="0" applyAlignment="1" applyBorder="1" applyFont="1">
      <alignment horizontal="center" readingOrder="0" vertical="center"/>
    </xf>
    <xf borderId="33" fillId="0" fontId="1" numFmtId="0" xfId="0" applyAlignment="1" applyBorder="1" applyFont="1">
      <alignment horizontal="center" readingOrder="0" vertical="center"/>
    </xf>
    <xf borderId="33" fillId="0" fontId="1" numFmtId="0" xfId="0" applyAlignment="1" applyBorder="1" applyFont="1">
      <alignment horizontal="center" readingOrder="0"/>
    </xf>
    <xf borderId="33" fillId="0" fontId="1" numFmtId="2" xfId="0" applyAlignment="1" applyBorder="1" applyFont="1" applyNumberFormat="1">
      <alignment horizontal="center" vertical="center"/>
    </xf>
    <xf borderId="33" fillId="0" fontId="1" numFmtId="2" xfId="0" applyAlignment="1" applyBorder="1" applyFont="1" applyNumberFormat="1">
      <alignment horizontal="center" readingOrder="0"/>
    </xf>
    <xf borderId="33" fillId="0" fontId="1" numFmtId="0" xfId="0" applyAlignment="1" applyBorder="1" applyFont="1">
      <alignment horizontal="center"/>
    </xf>
    <xf borderId="33" fillId="0" fontId="1" numFmtId="4" xfId="0" applyAlignment="1" applyBorder="1" applyFont="1" applyNumberFormat="1">
      <alignment horizontal="center" vertical="center"/>
    </xf>
    <xf borderId="33" fillId="0" fontId="1" numFmtId="10" xfId="0" applyAlignment="1" applyBorder="1" applyFont="1" applyNumberFormat="1">
      <alignment horizontal="center" vertical="center"/>
    </xf>
    <xf borderId="33" fillId="0" fontId="1" numFmtId="1" xfId="0" applyAlignment="1" applyBorder="1" applyFont="1" applyNumberFormat="1">
      <alignment horizontal="center"/>
    </xf>
    <xf borderId="33" fillId="0" fontId="1" numFmtId="10" xfId="0" applyAlignment="1" applyBorder="1" applyFont="1" applyNumberFormat="1">
      <alignment horizontal="center"/>
    </xf>
    <xf borderId="34" fillId="0" fontId="1" numFmtId="10" xfId="0" applyAlignment="1" applyBorder="1" applyFont="1" applyNumberFormat="1">
      <alignment horizontal="center"/>
    </xf>
    <xf borderId="35" fillId="0" fontId="1" numFmtId="14" xfId="0" applyAlignment="1" applyBorder="1" applyFont="1" applyNumberFormat="1">
      <alignment horizontal="center"/>
    </xf>
    <xf borderId="36" fillId="0" fontId="11" numFmtId="0" xfId="0" applyAlignment="1" applyBorder="1" applyFont="1">
      <alignment horizontal="center" readingOrder="0" vertical="center"/>
    </xf>
    <xf borderId="36" fillId="0" fontId="1" numFmtId="2" xfId="0" applyAlignment="1" applyBorder="1" applyFont="1" applyNumberFormat="1">
      <alignment horizontal="center"/>
    </xf>
    <xf borderId="36" fillId="0" fontId="1" numFmtId="0" xfId="0" applyAlignment="1" applyBorder="1" applyFont="1">
      <alignment horizontal="center"/>
    </xf>
    <xf borderId="36" fillId="0" fontId="1" numFmtId="4" xfId="0" applyAlignment="1" applyBorder="1" applyFont="1" applyNumberFormat="1">
      <alignment horizontal="center"/>
    </xf>
    <xf borderId="36" fillId="0" fontId="1" numFmtId="10" xfId="0" applyAlignment="1" applyBorder="1" applyFont="1" applyNumberFormat="1">
      <alignment horizontal="center" vertical="center"/>
    </xf>
    <xf borderId="36" fillId="0" fontId="1" numFmtId="1" xfId="0" applyAlignment="1" applyBorder="1" applyFont="1" applyNumberFormat="1">
      <alignment horizontal="center"/>
    </xf>
    <xf borderId="36" fillId="0" fontId="1" numFmtId="10" xfId="0" applyAlignment="1" applyBorder="1" applyFont="1" applyNumberFormat="1">
      <alignment horizontal="center"/>
    </xf>
    <xf borderId="37" fillId="0" fontId="1" numFmtId="10" xfId="0" applyAlignment="1" applyBorder="1" applyFont="1" applyNumberFormat="1">
      <alignment horizontal="center"/>
    </xf>
    <xf borderId="28" fillId="0" fontId="1" numFmtId="2" xfId="0" applyAlignment="1" applyBorder="1" applyFont="1" applyNumberFormat="1">
      <alignment horizontal="center"/>
    </xf>
    <xf borderId="30" fillId="0" fontId="1" numFmtId="166" xfId="0" applyAlignment="1" applyBorder="1" applyFont="1" applyNumberFormat="1">
      <alignment horizontal="center" readingOrder="0"/>
    </xf>
    <xf borderId="10" fillId="0" fontId="1" numFmtId="1" xfId="0" applyAlignment="1" applyBorder="1" applyFont="1" applyNumberFormat="1">
      <alignment horizontal="center" readingOrder="0"/>
    </xf>
    <xf borderId="32" fillId="0" fontId="1" numFmtId="166" xfId="0" applyAlignment="1" applyBorder="1" applyFont="1" applyNumberFormat="1">
      <alignment horizontal="center" readingOrder="0"/>
    </xf>
    <xf borderId="33" fillId="0" fontId="1" numFmtId="1" xfId="0" applyAlignment="1" applyBorder="1" applyFont="1" applyNumberFormat="1">
      <alignment horizontal="center" readingOrder="0"/>
    </xf>
    <xf borderId="33" fillId="0" fontId="1" numFmtId="2" xfId="0" applyAlignment="1" applyBorder="1" applyFont="1" applyNumberFormat="1">
      <alignment horizontal="center"/>
    </xf>
    <xf borderId="38" fillId="0" fontId="2" numFmtId="0" xfId="0" applyAlignment="1" applyBorder="1" applyFont="1">
      <alignment horizontal="center" readingOrder="0"/>
    </xf>
    <xf borderId="39" fillId="0" fontId="2" numFmtId="0" xfId="0" applyAlignment="1" applyBorder="1" applyFont="1">
      <alignment horizontal="center" readingOrder="0"/>
    </xf>
    <xf borderId="40" fillId="0" fontId="2" numFmtId="0" xfId="0" applyAlignment="1" applyBorder="1" applyFont="1">
      <alignment horizontal="center" readingOrder="0"/>
    </xf>
    <xf borderId="11" fillId="0" fontId="1" numFmtId="0" xfId="0" applyAlignment="1" applyBorder="1" applyFont="1">
      <alignment horizontal="center" readingOrder="0"/>
    </xf>
    <xf borderId="11" fillId="0" fontId="1" numFmtId="2" xfId="0" applyAlignment="1" applyBorder="1" applyFont="1" applyNumberFormat="1">
      <alignment horizontal="center" vertical="center"/>
    </xf>
    <xf borderId="11" fillId="0" fontId="1" numFmtId="3" xfId="0" applyAlignment="1" applyBorder="1" applyFont="1" applyNumberFormat="1">
      <alignment horizontal="center" vertical="center"/>
    </xf>
    <xf borderId="11" fillId="0" fontId="1" numFmtId="1" xfId="0" applyAlignment="1" applyBorder="1" applyFont="1" applyNumberFormat="1">
      <alignment horizontal="center"/>
    </xf>
    <xf borderId="11" fillId="0" fontId="1" numFmtId="2" xfId="0" applyAlignment="1" applyBorder="1" applyFont="1" applyNumberFormat="1">
      <alignment horizontal="center"/>
    </xf>
    <xf borderId="11" fillId="0" fontId="1" numFmtId="10" xfId="0" applyAlignment="1" applyBorder="1" applyFont="1" applyNumberFormat="1">
      <alignment horizontal="center"/>
    </xf>
    <xf borderId="41" fillId="0" fontId="1" numFmtId="10" xfId="0" applyAlignment="1" applyBorder="1" applyFont="1" applyNumberFormat="1">
      <alignment horizontal="center"/>
    </xf>
    <xf borderId="16" fillId="0" fontId="1" numFmtId="3" xfId="0" applyAlignment="1" applyBorder="1" applyFont="1" applyNumberFormat="1">
      <alignment horizontal="center" vertical="center"/>
    </xf>
    <xf borderId="16" fillId="0" fontId="1" numFmtId="2" xfId="0" applyAlignment="1" applyBorder="1" applyFont="1" applyNumberFormat="1">
      <alignment horizontal="center"/>
    </xf>
    <xf borderId="42" fillId="0" fontId="1" numFmtId="10" xfId="0" applyAlignment="1" applyBorder="1" applyFont="1" applyNumberFormat="1">
      <alignment horizontal="center"/>
    </xf>
    <xf borderId="43" fillId="0" fontId="1" numFmtId="166" xfId="0" applyAlignment="1" applyBorder="1" applyFont="1" applyNumberFormat="1">
      <alignment horizontal="center" readingOrder="0" vertical="center"/>
    </xf>
    <xf borderId="16" fillId="0" fontId="12" numFmtId="0" xfId="0" applyAlignment="1" applyBorder="1" applyFont="1">
      <alignment horizontal="center" readingOrder="0"/>
    </xf>
    <xf borderId="8" fillId="0" fontId="1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horizontal="center" readingOrder="0"/>
    </xf>
    <xf borderId="8" fillId="0" fontId="1" numFmtId="2" xfId="0" applyAlignment="1" applyBorder="1" applyFont="1" applyNumberFormat="1">
      <alignment horizontal="center" readingOrder="0" vertical="center"/>
    </xf>
    <xf borderId="16" fillId="0" fontId="1" numFmtId="0" xfId="0" applyAlignment="1" applyBorder="1" applyFont="1">
      <alignment horizontal="center"/>
    </xf>
    <xf borderId="16" fillId="0" fontId="1" numFmtId="1" xfId="0" applyAlignment="1" applyBorder="1" applyFont="1" applyNumberFormat="1">
      <alignment horizontal="center"/>
    </xf>
    <xf borderId="8" fillId="0" fontId="1" numFmtId="1" xfId="0" applyAlignment="1" applyBorder="1" applyFont="1" applyNumberFormat="1">
      <alignment horizontal="center"/>
    </xf>
    <xf borderId="8" fillId="0" fontId="1" numFmtId="10" xfId="0" applyAlignment="1" applyBorder="1" applyFont="1" applyNumberFormat="1">
      <alignment horizontal="center"/>
    </xf>
    <xf borderId="38" fillId="0" fontId="1" numFmtId="14" xfId="0" applyAlignment="1" applyBorder="1" applyFont="1" applyNumberFormat="1">
      <alignment horizontal="center"/>
    </xf>
    <xf borderId="39" fillId="0" fontId="13" numFmtId="0" xfId="0" applyAlignment="1" applyBorder="1" applyFont="1">
      <alignment horizontal="center" readingOrder="0"/>
    </xf>
    <xf borderId="39" fillId="0" fontId="1" numFmtId="2" xfId="0" applyAlignment="1" applyBorder="1" applyFont="1" applyNumberFormat="1">
      <alignment horizontal="center"/>
    </xf>
    <xf borderId="39" fillId="0" fontId="1" numFmtId="0" xfId="0" applyAlignment="1" applyBorder="1" applyFont="1">
      <alignment horizontal="center"/>
    </xf>
    <xf borderId="39" fillId="0" fontId="1" numFmtId="1" xfId="0" applyAlignment="1" applyBorder="1" applyFont="1" applyNumberFormat="1">
      <alignment horizontal="center"/>
    </xf>
    <xf borderId="39" fillId="0" fontId="1" numFmtId="3" xfId="0" applyAlignment="1" applyBorder="1" applyFont="1" applyNumberFormat="1">
      <alignment horizontal="center"/>
    </xf>
    <xf borderId="39" fillId="0" fontId="1" numFmtId="10" xfId="0" applyAlignment="1" applyBorder="1" applyFont="1" applyNumberFormat="1">
      <alignment horizontal="center" vertical="center"/>
    </xf>
    <xf borderId="39" fillId="0" fontId="1" numFmtId="10" xfId="0" applyAlignment="1" applyBorder="1" applyFont="1" applyNumberFormat="1">
      <alignment horizontal="center"/>
    </xf>
    <xf borderId="40" fillId="0" fontId="1" numFmtId="10" xfId="0" applyAlignment="1" applyBorder="1" applyFont="1" applyNumberFormat="1">
      <alignment horizontal="center"/>
    </xf>
    <xf borderId="27" fillId="0" fontId="1" numFmtId="166" xfId="0" applyAlignment="1" applyBorder="1" applyFont="1" applyNumberFormat="1">
      <alignment horizontal="center" readingOrder="0"/>
    </xf>
    <xf borderId="28" fillId="0" fontId="14" numFmtId="0" xfId="0" applyAlignment="1" applyBorder="1" applyFont="1">
      <alignment horizontal="center" readingOrder="0"/>
    </xf>
    <xf borderId="28" fillId="0" fontId="1" numFmtId="167" xfId="0" applyAlignment="1" applyBorder="1" applyFont="1" applyNumberFormat="1">
      <alignment horizontal="center" readingOrder="0"/>
    </xf>
    <xf borderId="28" fillId="0" fontId="1" numFmtId="0" xfId="0" applyAlignment="1" applyBorder="1" applyFont="1">
      <alignment horizontal="center"/>
    </xf>
    <xf borderId="10" fillId="0" fontId="1" numFmtId="2" xfId="0" applyAlignment="1" applyBorder="1" applyFont="1" applyNumberFormat="1">
      <alignment horizontal="center" readingOrder="0" vertical="center"/>
    </xf>
    <xf borderId="33" fillId="0" fontId="15" numFmtId="0" xfId="0" applyAlignment="1" applyBorder="1" applyFont="1">
      <alignment horizontal="center" readingOrder="0"/>
    </xf>
    <xf borderId="33" fillId="0" fontId="1" numFmtId="2" xfId="0" applyAlignment="1" applyBorder="1" applyFont="1" applyNumberFormat="1">
      <alignment horizontal="center" readingOrder="0" vertical="center"/>
    </xf>
    <xf borderId="36" fillId="0" fontId="16" numFmtId="0" xfId="0" applyAlignment="1" applyBorder="1" applyFont="1">
      <alignment horizontal="center" readingOrder="0"/>
    </xf>
    <xf borderId="36" fillId="0" fontId="1" numFmtId="168" xfId="0" applyAlignment="1" applyBorder="1" applyFont="1" applyNumberFormat="1">
      <alignment horizontal="center"/>
    </xf>
    <xf borderId="28" fillId="0" fontId="17" numFmtId="0" xfId="0" applyAlignment="1" applyBorder="1" applyFont="1">
      <alignment horizontal="center" readingOrder="0"/>
    </xf>
    <xf borderId="33" fillId="0" fontId="18" numFmtId="0" xfId="0" applyAlignment="1" applyBorder="1" applyFont="1">
      <alignment horizontal="center" readingOrder="0"/>
    </xf>
    <xf borderId="36" fillId="0" fontId="19" numFmtId="0" xfId="0" applyAlignment="1" applyBorder="1" applyFont="1">
      <alignment horizontal="center" readingOrder="0"/>
    </xf>
    <xf borderId="30" fillId="0" fontId="1" numFmtId="166" xfId="0" applyAlignment="1" applyBorder="1" applyFont="1" applyNumberFormat="1">
      <alignment horizontal="center" readingOrder="0" vertical="bottom"/>
    </xf>
    <xf borderId="10" fillId="0" fontId="20" numFmtId="0" xfId="0" applyAlignment="1" applyBorder="1" applyFont="1">
      <alignment horizontal="center" vertical="bottom"/>
    </xf>
    <xf borderId="10" fillId="0" fontId="1" numFmtId="2" xfId="0" applyAlignment="1" applyBorder="1" applyFont="1" applyNumberFormat="1">
      <alignment horizontal="center" readingOrder="0" vertical="bottom"/>
    </xf>
    <xf borderId="10" fillId="0" fontId="1" numFmtId="0" xfId="0" applyAlignment="1" applyBorder="1" applyFont="1">
      <alignment horizontal="center" vertical="bottom"/>
    </xf>
    <xf borderId="10" fillId="0" fontId="1" numFmtId="2" xfId="0" applyAlignment="1" applyBorder="1" applyFont="1" applyNumberFormat="1">
      <alignment horizontal="center"/>
    </xf>
    <xf borderId="10" fillId="0" fontId="1" numFmtId="4" xfId="0" applyAlignment="1" applyBorder="1" applyFont="1" applyNumberFormat="1">
      <alignment horizontal="center"/>
    </xf>
    <xf borderId="10" fillId="6" fontId="1" numFmtId="10" xfId="0" applyAlignment="1" applyBorder="1" applyFill="1" applyFont="1" applyNumberFormat="1">
      <alignment horizontal="center"/>
    </xf>
    <xf borderId="10" fillId="7" fontId="1" numFmtId="10" xfId="0" applyAlignment="1" applyBorder="1" applyFill="1" applyFont="1" applyNumberFormat="1">
      <alignment horizontal="center"/>
    </xf>
    <xf borderId="10" fillId="0" fontId="1" numFmtId="2" xfId="0" applyAlignment="1" applyBorder="1" applyFont="1" applyNumberFormat="1">
      <alignment horizontal="center" vertical="bottom"/>
    </xf>
    <xf borderId="10" fillId="8" fontId="1" numFmtId="10" xfId="0" applyAlignment="1" applyBorder="1" applyFill="1" applyFont="1" applyNumberFormat="1">
      <alignment horizontal="center" vertical="bottom"/>
    </xf>
    <xf borderId="31" fillId="7" fontId="1" numFmtId="10" xfId="0" applyAlignment="1" applyBorder="1" applyFont="1" applyNumberFormat="1">
      <alignment horizontal="center" vertical="bottom"/>
    </xf>
    <xf borderId="10" fillId="0" fontId="1" numFmtId="0" xfId="0" applyAlignment="1" applyBorder="1" applyFont="1">
      <alignment horizontal="center" readingOrder="0" vertical="bottom"/>
    </xf>
    <xf borderId="32" fillId="0" fontId="1" numFmtId="166" xfId="0" applyAlignment="1" applyBorder="1" applyFont="1" applyNumberFormat="1">
      <alignment horizontal="center" readingOrder="0" vertical="bottom"/>
    </xf>
    <xf borderId="33" fillId="0" fontId="21" numFmtId="0" xfId="0" applyAlignment="1" applyBorder="1" applyFont="1">
      <alignment horizontal="center" vertical="bottom"/>
    </xf>
    <xf borderId="33" fillId="0" fontId="1" numFmtId="2" xfId="0" applyAlignment="1" applyBorder="1" applyFont="1" applyNumberFormat="1">
      <alignment horizontal="center" readingOrder="0" vertical="bottom"/>
    </xf>
    <xf borderId="33" fillId="0" fontId="1" numFmtId="0" xfId="0" applyAlignment="1" applyBorder="1" applyFont="1">
      <alignment horizontal="center" readingOrder="0" vertical="bottom"/>
    </xf>
    <xf borderId="33" fillId="0" fontId="1" numFmtId="2" xfId="0" applyAlignment="1" applyBorder="1" applyFont="1" applyNumberFormat="1">
      <alignment horizontal="center"/>
    </xf>
    <xf borderId="33" fillId="0" fontId="1" numFmtId="0" xfId="0" applyAlignment="1" applyBorder="1" applyFont="1">
      <alignment horizontal="center" vertical="bottom"/>
    </xf>
    <xf borderId="33" fillId="0" fontId="1" numFmtId="4" xfId="0" applyAlignment="1" applyBorder="1" applyFont="1" applyNumberFormat="1">
      <alignment horizontal="center"/>
    </xf>
    <xf borderId="33" fillId="6" fontId="1" numFmtId="10" xfId="0" applyAlignment="1" applyBorder="1" applyFont="1" applyNumberFormat="1">
      <alignment horizontal="center"/>
    </xf>
    <xf borderId="33" fillId="7" fontId="1" numFmtId="10" xfId="0" applyAlignment="1" applyBorder="1" applyFont="1" applyNumberFormat="1">
      <alignment horizontal="center"/>
    </xf>
    <xf borderId="33" fillId="0" fontId="1" numFmtId="2" xfId="0" applyAlignment="1" applyBorder="1" applyFont="1" applyNumberFormat="1">
      <alignment horizontal="center" vertical="bottom"/>
    </xf>
    <xf borderId="33" fillId="8" fontId="1" numFmtId="10" xfId="0" applyAlignment="1" applyBorder="1" applyFont="1" applyNumberFormat="1">
      <alignment horizontal="center" vertical="bottom"/>
    </xf>
    <xf borderId="34" fillId="7" fontId="1" numFmtId="10" xfId="0" applyAlignment="1" applyBorder="1" applyFont="1" applyNumberFormat="1">
      <alignment horizontal="center" vertical="bottom"/>
    </xf>
    <xf borderId="0" fillId="0" fontId="22" numFmtId="0" xfId="0" applyFont="1"/>
    <xf borderId="0" fillId="0" fontId="1" numFmtId="169" xfId="0" applyAlignment="1" applyFont="1" applyNumberFormat="1">
      <alignment readingOrder="0"/>
    </xf>
    <xf borderId="0" fillId="0" fontId="2" numFmtId="0" xfId="0" applyAlignment="1" applyFont="1">
      <alignment readingOrder="0" vertical="center"/>
    </xf>
    <xf borderId="0" fillId="0" fontId="1" numFmtId="0" xfId="0" applyAlignment="1" applyFont="1">
      <alignment readingOrder="0" vertical="center"/>
    </xf>
    <xf borderId="0" fillId="0" fontId="1" numFmtId="165" xfId="0" applyAlignment="1" applyFont="1" applyNumberFormat="1">
      <alignment horizontal="center" readingOrder="0" vertical="center"/>
    </xf>
    <xf borderId="0" fillId="0" fontId="23" numFmtId="165" xfId="0" applyAlignment="1" applyFont="1" applyNumberFormat="1">
      <alignment readingOrder="0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10" fillId="0" fontId="1" numFmtId="165" xfId="0" applyAlignment="1" applyBorder="1" applyFont="1" applyNumberFormat="1">
      <alignment horizontal="center" readingOrder="0" vertical="center"/>
    </xf>
    <xf borderId="10" fillId="0" fontId="24" numFmtId="1" xfId="0" applyAlignment="1" applyBorder="1" applyFont="1" applyNumberFormat="1">
      <alignment horizontal="center" readingOrder="0" vertical="center"/>
    </xf>
    <xf borderId="10" fillId="0" fontId="1" numFmtId="1" xfId="0" applyAlignment="1" applyBorder="1" applyFont="1" applyNumberFormat="1">
      <alignment horizontal="center" readingOrder="0" vertical="center"/>
    </xf>
    <xf borderId="10" fillId="0" fontId="25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horizontal="center" readingOrder="0" vertical="center"/>
    </xf>
    <xf borderId="0" fillId="0" fontId="1" numFmtId="10" xfId="0" applyAlignment="1" applyFont="1" applyNumberFormat="1">
      <alignment horizontal="center" readingOrder="0" vertical="center"/>
    </xf>
    <xf borderId="0" fillId="0" fontId="1" numFmtId="1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0" fillId="0" fontId="2" numFmtId="1" xfId="0" applyAlignment="1" applyBorder="1" applyFont="1" applyNumberFormat="1">
      <alignment horizontal="center" vertical="center"/>
    </xf>
    <xf borderId="0" fillId="0" fontId="1" numFmtId="3" xfId="0" applyAlignment="1" applyFont="1" applyNumberFormat="1">
      <alignment horizontal="center" readingOrder="0" vertical="center"/>
    </xf>
    <xf borderId="0" fillId="0" fontId="1" numFmtId="10" xfId="0" applyAlignment="1" applyFont="1" applyNumberFormat="1">
      <alignment vertical="center"/>
    </xf>
    <xf borderId="0" fillId="0" fontId="1" numFmtId="1" xfId="0" applyAlignment="1" applyFont="1" applyNumberFormat="1">
      <alignment vertical="center"/>
    </xf>
    <xf borderId="10" fillId="0" fontId="1" numFmtId="170" xfId="0" applyAlignment="1" applyBorder="1" applyFont="1" applyNumberFormat="1">
      <alignment horizontal="center" readingOrder="0" vertical="center"/>
    </xf>
    <xf borderId="10" fillId="0" fontId="1" numFmtId="170" xfId="0" applyAlignment="1" applyBorder="1" applyFont="1" applyNumberFormat="1">
      <alignment horizontal="center" vertical="center"/>
    </xf>
    <xf borderId="10" fillId="0" fontId="1" numFmtId="165" xfId="0" applyAlignment="1" applyBorder="1" applyFont="1" applyNumberFormat="1">
      <alignment horizontal="center" vertical="center"/>
    </xf>
    <xf borderId="10" fillId="0" fontId="1" numFmtId="164" xfId="0" applyAlignment="1" applyBorder="1" applyFont="1" applyNumberFormat="1">
      <alignment horizontal="center" readingOrder="0" vertical="center"/>
    </xf>
    <xf borderId="10" fillId="0" fontId="1" numFmtId="164" xfId="0" applyAlignment="1" applyBorder="1" applyFont="1" applyNumberFormat="1">
      <alignment horizontal="center" vertical="center"/>
    </xf>
    <xf borderId="0" fillId="0" fontId="1" numFmtId="171" xfId="0" applyAlignment="1" applyFont="1" applyNumberFormat="1">
      <alignment readingOrder="0"/>
    </xf>
    <xf borderId="16" fillId="0" fontId="1" numFmtId="170" xfId="0" applyAlignment="1" applyBorder="1" applyFont="1" applyNumberFormat="1">
      <alignment horizontal="center" vertical="center"/>
    </xf>
    <xf borderId="10" fillId="0" fontId="23" numFmtId="165" xfId="0" applyAlignment="1" applyBorder="1" applyFont="1" applyNumberFormat="1">
      <alignment horizontal="center" vertical="center"/>
    </xf>
    <xf borderId="10" fillId="0" fontId="23" numFmtId="164" xfId="0" applyAlignment="1" applyBorder="1" applyFont="1" applyNumberFormat="1">
      <alignment horizontal="center" readingOrder="0" vertical="center"/>
    </xf>
    <xf borderId="10" fillId="0" fontId="23" numFmtId="10" xfId="0" applyAlignment="1" applyBorder="1" applyFont="1" applyNumberFormat="1">
      <alignment horizontal="center" vertical="center"/>
    </xf>
    <xf borderId="10" fillId="0" fontId="23" numFmtId="164" xfId="0" applyAlignment="1" applyBorder="1" applyFont="1" applyNumberFormat="1">
      <alignment horizontal="center" vertical="center"/>
    </xf>
    <xf borderId="10" fillId="0" fontId="23" numFmtId="2" xfId="0" applyAlignment="1" applyBorder="1" applyFont="1" applyNumberFormat="1">
      <alignment horizontal="center" vertical="center"/>
    </xf>
    <xf borderId="10" fillId="0" fontId="26" numFmtId="1" xfId="0" applyAlignment="1" applyBorder="1" applyFont="1" applyNumberFormat="1">
      <alignment horizontal="center" vertical="center"/>
    </xf>
    <xf borderId="0" fillId="0" fontId="1" numFmtId="10" xfId="0" applyAlignment="1" applyFont="1" applyNumberFormat="1">
      <alignment readingOrder="0"/>
    </xf>
    <xf borderId="0" fillId="0" fontId="1" numFmtId="9" xfId="0" applyAlignment="1" applyFont="1" applyNumberFormat="1">
      <alignment readingOrder="0"/>
    </xf>
    <xf borderId="16" fillId="0" fontId="1" numFmtId="164" xfId="0" applyAlignment="1" applyBorder="1" applyFont="1" applyNumberFormat="1">
      <alignment horizontal="center" vertical="center"/>
    </xf>
    <xf borderId="10" fillId="0" fontId="23" numFmtId="0" xfId="0" applyAlignment="1" applyBorder="1" applyFont="1">
      <alignment horizontal="center" readingOrder="0" vertical="center"/>
    </xf>
    <xf borderId="10" fillId="9" fontId="1" numFmtId="0" xfId="0" applyAlignment="1" applyBorder="1" applyFill="1" applyFont="1">
      <alignment horizontal="center" readingOrder="0" vertical="center"/>
    </xf>
    <xf borderId="10" fillId="9" fontId="27" numFmtId="170" xfId="0" applyAlignment="1" applyBorder="1" applyFont="1" applyNumberFormat="1">
      <alignment horizontal="center" readingOrder="0" vertical="center"/>
    </xf>
    <xf borderId="10" fillId="3" fontId="2" numFmtId="10" xfId="0" applyAlignment="1" applyBorder="1" applyFont="1" applyNumberFormat="1">
      <alignment horizontal="center" vertical="center"/>
    </xf>
    <xf borderId="14" fillId="9" fontId="24" numFmtId="170" xfId="0" applyAlignment="1" applyBorder="1" applyFont="1" applyNumberFormat="1">
      <alignment horizontal="center" vertical="center"/>
    </xf>
    <xf borderId="3" fillId="9" fontId="2" numFmtId="170" xfId="0" applyAlignment="1" applyBorder="1" applyFont="1" applyNumberFormat="1">
      <alignment horizontal="center" vertical="center"/>
    </xf>
    <xf borderId="10" fillId="9" fontId="27" numFmtId="164" xfId="0" applyAlignment="1" applyBorder="1" applyFont="1" applyNumberFormat="1">
      <alignment horizontal="center" readingOrder="0" vertical="center"/>
    </xf>
    <xf borderId="14" fillId="9" fontId="24" numFmtId="172" xfId="0" applyAlignment="1" applyBorder="1" applyFont="1" applyNumberFormat="1">
      <alignment horizontal="center" vertical="center"/>
    </xf>
    <xf borderId="3" fillId="9" fontId="2" numFmtId="172" xfId="0" applyAlignment="1" applyBorder="1" applyFont="1" applyNumberFormat="1">
      <alignment horizontal="center" vertical="center"/>
    </xf>
    <xf borderId="10" fillId="0" fontId="28" numFmtId="2" xfId="0" applyAlignment="1" applyBorder="1" applyFont="1" applyNumberFormat="1">
      <alignment horizontal="center" vertical="center"/>
    </xf>
    <xf borderId="10" fillId="0" fontId="29" numFmtId="1" xfId="0" applyAlignment="1" applyBorder="1" applyFont="1" applyNumberFormat="1">
      <alignment horizontal="center" vertical="center"/>
    </xf>
    <xf borderId="10" fillId="10" fontId="1" numFmtId="0" xfId="0" applyAlignment="1" applyBorder="1" applyFill="1" applyFont="1">
      <alignment horizontal="center" readingOrder="0" vertical="center"/>
    </xf>
    <xf borderId="10" fillId="10" fontId="1" numFmtId="170" xfId="0" applyAlignment="1" applyBorder="1" applyFont="1" applyNumberFormat="1">
      <alignment horizontal="center" vertical="center"/>
    </xf>
    <xf borderId="10" fillId="10" fontId="1" numFmtId="10" xfId="0" applyAlignment="1" applyBorder="1" applyFont="1" applyNumberFormat="1">
      <alignment horizontal="center" vertical="center"/>
    </xf>
    <xf borderId="10" fillId="10" fontId="1" numFmtId="172" xfId="0" applyAlignment="1" applyBorder="1" applyFont="1" applyNumberFormat="1">
      <alignment horizontal="center" vertical="center"/>
    </xf>
    <xf borderId="0" fillId="0" fontId="1" numFmtId="172" xfId="0" applyAlignment="1" applyFont="1" applyNumberFormat="1">
      <alignment horizontal="center" vertical="center"/>
    </xf>
    <xf borderId="0" fillId="0" fontId="1" numFmtId="165" xfId="0" applyFont="1" applyNumberFormat="1"/>
    <xf borderId="0" fillId="0" fontId="30" numFmtId="0" xfId="0" applyAlignment="1" applyFont="1">
      <alignment horizontal="left" readingOrder="0" vertical="center"/>
    </xf>
    <xf borderId="0" fillId="0" fontId="2" numFmtId="165" xfId="0" applyFont="1" applyNumberFormat="1"/>
    <xf borderId="0" fillId="0" fontId="1" numFmtId="170" xfId="0" applyAlignment="1" applyFont="1" applyNumberFormat="1">
      <alignment horizontal="center" readingOrder="0" vertical="center"/>
    </xf>
    <xf borderId="0" fillId="0" fontId="2" numFmtId="0" xfId="0" applyAlignment="1" applyFont="1">
      <alignment readingOrder="0"/>
    </xf>
    <xf borderId="0" fillId="0" fontId="1" numFmtId="4" xfId="0" applyAlignment="1" applyFont="1" applyNumberFormat="1">
      <alignment readingOrder="0"/>
    </xf>
    <xf borderId="0" fillId="0" fontId="1" numFmtId="3" xfId="0" applyFont="1" applyNumberFormat="1"/>
    <xf borderId="0" fillId="0" fontId="1" numFmtId="1" xfId="0" applyAlignment="1" applyFont="1" applyNumberFormat="1">
      <alignment horizontal="center"/>
    </xf>
    <xf borderId="0" fillId="0" fontId="1" numFmtId="10" xfId="0" applyAlignment="1" applyFont="1" applyNumberFormat="1">
      <alignment horizontal="center"/>
    </xf>
    <xf borderId="0" fillId="0" fontId="1" numFmtId="9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2" numFmtId="1" xfId="0" applyAlignment="1" applyFont="1" applyNumberFormat="1">
      <alignment horizontal="center"/>
    </xf>
    <xf borderId="0" fillId="0" fontId="27" numFmtId="0" xfId="0" applyAlignment="1" applyFont="1">
      <alignment horizontal="center"/>
    </xf>
    <xf borderId="0" fillId="0" fontId="1" numFmtId="2" xfId="0" applyAlignment="1" applyFont="1" applyNumberFormat="1">
      <alignment horizontal="center" readingOrder="0"/>
    </xf>
    <xf borderId="0" fillId="0" fontId="27" numFmtId="0" xfId="0" applyAlignment="1" applyFont="1">
      <alignment horizontal="center" readingOrder="0"/>
    </xf>
    <xf borderId="0" fillId="5" fontId="1" numFmtId="172" xfId="0" applyAlignment="1" applyFont="1" applyNumberFormat="1">
      <alignment readingOrder="0"/>
    </xf>
    <xf borderId="0" fillId="0" fontId="1" numFmtId="172" xfId="0" applyFont="1" applyNumberFormat="1"/>
    <xf borderId="0" fillId="0" fontId="1" numFmtId="173" xfId="0" applyFont="1" applyNumberFormat="1"/>
    <xf borderId="18" fillId="0" fontId="1" numFmtId="1" xfId="0" applyBorder="1" applyFont="1" applyNumberFormat="1"/>
    <xf borderId="18" fillId="0" fontId="1" numFmtId="1" xfId="0" applyAlignment="1" applyBorder="1" applyFont="1" applyNumberFormat="1">
      <alignment readingOrder="0"/>
    </xf>
    <xf borderId="19" fillId="0" fontId="1" numFmtId="1" xfId="0" applyBorder="1" applyFont="1" applyNumberFormat="1"/>
    <xf borderId="20" fillId="0" fontId="1" numFmtId="166" xfId="0" applyAlignment="1" applyBorder="1" applyFont="1" applyNumberFormat="1">
      <alignment readingOrder="0"/>
    </xf>
    <xf borderId="0" fillId="0" fontId="1" numFmtId="1" xfId="0" applyAlignment="1" applyFont="1" applyNumberFormat="1">
      <alignment readingOrder="0"/>
    </xf>
    <xf borderId="13" fillId="0" fontId="1" numFmtId="1" xfId="0" applyBorder="1" applyFont="1" applyNumberFormat="1"/>
    <xf borderId="23" fillId="0" fontId="1" numFmtId="1" xfId="0" applyAlignment="1" applyBorder="1" applyFont="1" applyNumberFormat="1">
      <alignment readingOrder="0"/>
    </xf>
    <xf borderId="23" fillId="0" fontId="1" numFmtId="1" xfId="0" applyBorder="1" applyFont="1" applyNumberFormat="1"/>
    <xf borderId="15" fillId="0" fontId="1" numFmtId="1" xfId="0" applyBorder="1" applyFont="1" applyNumberFormat="1"/>
    <xf borderId="0" fillId="0" fontId="1" numFmtId="3" xfId="0" applyAlignment="1" applyFont="1" applyNumberFormat="1">
      <alignment readingOrder="0"/>
    </xf>
    <xf borderId="21" fillId="0" fontId="1" numFmtId="0" xfId="0" applyAlignment="1" applyBorder="1" applyFont="1">
      <alignment horizontal="center" readingOrder="0"/>
    </xf>
    <xf borderId="22" fillId="0" fontId="1" numFmtId="0" xfId="0" applyAlignment="1" applyBorder="1" applyFont="1">
      <alignment horizontal="center" readingOrder="0"/>
    </xf>
    <xf borderId="14" fillId="0" fontId="1" numFmtId="0" xfId="0" applyAlignment="1" applyBorder="1" applyFont="1">
      <alignment horizontal="center" readingOrder="0"/>
    </xf>
    <xf borderId="13" fillId="0" fontId="1" numFmtId="1" xfId="0" applyAlignment="1" applyBorder="1" applyFont="1" applyNumberFormat="1">
      <alignment horizontal="center"/>
    </xf>
    <xf borderId="20" fillId="0" fontId="1" numFmtId="1" xfId="0" applyAlignment="1" applyBorder="1" applyFont="1" applyNumberFormat="1">
      <alignment horizontal="center"/>
    </xf>
    <xf borderId="13" fillId="0" fontId="1" numFmtId="10" xfId="0" applyAlignment="1" applyBorder="1" applyFont="1" applyNumberFormat="1">
      <alignment horizontal="center"/>
    </xf>
    <xf borderId="23" fillId="0" fontId="1" numFmtId="1" xfId="0" applyAlignment="1" applyBorder="1" applyFont="1" applyNumberFormat="1">
      <alignment horizontal="center"/>
    </xf>
    <xf borderId="15" fillId="0" fontId="1" numFmtId="1" xfId="0" applyAlignment="1" applyBorder="1" applyFont="1" applyNumberFormat="1">
      <alignment horizontal="center"/>
    </xf>
    <xf borderId="12" fillId="0" fontId="1" numFmtId="1" xfId="0" applyAlignment="1" applyBorder="1" applyFont="1" applyNumberFormat="1">
      <alignment horizontal="center"/>
    </xf>
    <xf borderId="23" fillId="0" fontId="1" numFmtId="10" xfId="0" applyAlignment="1" applyBorder="1" applyFont="1" applyNumberFormat="1">
      <alignment horizontal="center"/>
    </xf>
    <xf borderId="15" fillId="0" fontId="1" numFmtId="10" xfId="0" applyAlignment="1" applyBorder="1" applyFont="1" applyNumberFormat="1">
      <alignment horizontal="center"/>
    </xf>
    <xf borderId="0" fillId="0" fontId="1" numFmtId="166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1" numFmtId="165" xfId="0" applyAlignment="1" applyFont="1" applyNumberFormat="1">
      <alignment horizontal="right" readingOrder="0" vertical="bottom"/>
    </xf>
    <xf borderId="0" fillId="0" fontId="1" numFmtId="0" xfId="0" applyAlignment="1" applyFont="1">
      <alignment vertical="bottom"/>
    </xf>
    <xf borderId="0" fillId="0" fontId="1" numFmtId="2" xfId="0" applyAlignment="1" applyFont="1" applyNumberFormat="1">
      <alignment horizontal="right" vertical="bottom"/>
    </xf>
    <xf borderId="0" fillId="0" fontId="1" numFmtId="1" xfId="0" applyAlignment="1" applyFont="1" applyNumberFormat="1">
      <alignment vertical="bottom"/>
    </xf>
    <xf borderId="0" fillId="0" fontId="1" numFmtId="0" xfId="0" applyAlignment="1" applyFont="1">
      <alignment horizontal="right" readingOrder="0" vertical="bottom"/>
    </xf>
    <xf borderId="0" fillId="6" fontId="31" numFmtId="0" xfId="0" applyFont="1"/>
    <xf borderId="0" fillId="0" fontId="1" numFmtId="10" xfId="0" applyAlignment="1" applyFont="1" applyNumberFormat="1">
      <alignment horizontal="right" vertical="bottom"/>
    </xf>
    <xf borderId="0" fillId="0" fontId="1" numFmtId="165" xfId="0" applyAlignment="1" applyFont="1" applyNumberFormat="1">
      <alignment horizontal="right" readingOrder="0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horizontal="right" vertical="bottom"/>
    </xf>
    <xf borderId="0" fillId="0" fontId="1" numFmtId="10" xfId="0" applyAlignment="1" applyFont="1" applyNumberFormat="1">
      <alignment horizontal="right" vertical="bottom"/>
    </xf>
    <xf borderId="0" fillId="0" fontId="32" numFmtId="165" xfId="0" applyAlignment="1" applyFont="1" applyNumberFormat="1">
      <alignment readingOrder="0"/>
    </xf>
    <xf borderId="0" fillId="0" fontId="32" numFmtId="0" xfId="0" applyAlignment="1" applyFont="1">
      <alignment readingOrder="0"/>
    </xf>
    <xf borderId="0" fillId="0" fontId="32" numFmtId="10" xfId="0" applyFont="1" applyNumberFormat="1"/>
    <xf borderId="0" fillId="0" fontId="32" numFmtId="0" xfId="0" applyFont="1"/>
    <xf borderId="0" fillId="0" fontId="32" numFmtId="10" xfId="0" applyAlignment="1" applyFont="1" applyNumberFormat="1">
      <alignment readingOrder="0"/>
    </xf>
    <xf borderId="44" fillId="0" fontId="1" numFmtId="166" xfId="0" applyAlignment="1" applyBorder="1" applyFont="1" applyNumberFormat="1">
      <alignment horizontal="center" readingOrder="0" vertical="center"/>
    </xf>
    <xf borderId="45" fillId="0" fontId="1" numFmtId="0" xfId="0" applyAlignment="1" applyBorder="1" applyFont="1">
      <alignment horizontal="center" readingOrder="0" vertical="center"/>
    </xf>
    <xf borderId="45" fillId="0" fontId="1" numFmtId="0" xfId="0" applyAlignment="1" applyBorder="1" applyFont="1">
      <alignment horizontal="center" readingOrder="0"/>
    </xf>
    <xf borderId="45" fillId="0" fontId="1" numFmtId="2" xfId="0" applyAlignment="1" applyBorder="1" applyFont="1" applyNumberFormat="1">
      <alignment horizontal="center" vertical="center"/>
    </xf>
    <xf borderId="45" fillId="0" fontId="1" numFmtId="2" xfId="0" applyAlignment="1" applyBorder="1" applyFont="1" applyNumberFormat="1">
      <alignment horizontal="center" readingOrder="0"/>
    </xf>
    <xf borderId="45" fillId="0" fontId="1" numFmtId="168" xfId="0" applyAlignment="1" applyBorder="1" applyFont="1" applyNumberFormat="1">
      <alignment horizontal="center"/>
    </xf>
    <xf borderId="45" fillId="0" fontId="1" numFmtId="2" xfId="0" applyAlignment="1" applyBorder="1" applyFont="1" applyNumberFormat="1">
      <alignment horizontal="center"/>
    </xf>
    <xf borderId="45" fillId="0" fontId="1" numFmtId="10" xfId="0" applyAlignment="1" applyBorder="1" applyFont="1" applyNumberFormat="1">
      <alignment horizontal="center"/>
    </xf>
    <xf borderId="46" fillId="0" fontId="1" numFmtId="10" xfId="0" applyAlignment="1" applyBorder="1" applyFont="1" applyNumberFormat="1">
      <alignment horizontal="center"/>
    </xf>
    <xf borderId="47" fillId="0" fontId="1" numFmtId="166" xfId="0" applyAlignment="1" applyBorder="1" applyFont="1" applyNumberFormat="1">
      <alignment horizontal="center" readingOrder="0" vertical="center"/>
    </xf>
    <xf borderId="0" fillId="0" fontId="1" numFmtId="168" xfId="0" applyAlignment="1" applyFont="1" applyNumberFormat="1">
      <alignment horizontal="center" readingOrder="0"/>
    </xf>
    <xf borderId="0" fillId="0" fontId="1" numFmtId="2" xfId="0" applyAlignment="1" applyFont="1" applyNumberFormat="1">
      <alignment horizontal="center" vertical="center"/>
    </xf>
    <xf borderId="0" fillId="0" fontId="1" numFmtId="168" xfId="0" applyAlignment="1" applyFont="1" applyNumberFormat="1">
      <alignment horizontal="center"/>
    </xf>
    <xf borderId="0" fillId="0" fontId="1" numFmtId="2" xfId="0" applyAlignment="1" applyFont="1" applyNumberFormat="1">
      <alignment horizontal="center"/>
    </xf>
    <xf borderId="48" fillId="0" fontId="1" numFmtId="10" xfId="0" applyAlignment="1" applyBorder="1" applyFont="1" applyNumberFormat="1">
      <alignment horizontal="center"/>
    </xf>
    <xf borderId="47" fillId="0" fontId="1" numFmtId="165" xfId="0" applyAlignment="1" applyBorder="1" applyFont="1" applyNumberFormat="1">
      <alignment horizontal="center" readingOrder="0" vertical="center"/>
    </xf>
    <xf borderId="49" fillId="0" fontId="1" numFmtId="166" xfId="0" applyAlignment="1" applyBorder="1" applyFont="1" applyNumberFormat="1">
      <alignment horizontal="center" readingOrder="0"/>
    </xf>
    <xf borderId="50" fillId="0" fontId="1" numFmtId="168" xfId="0" applyAlignment="1" applyBorder="1" applyFont="1" applyNumberFormat="1">
      <alignment horizontal="center" readingOrder="0" vertical="bottom"/>
    </xf>
    <xf borderId="50" fillId="0" fontId="1" numFmtId="0" xfId="0" applyAlignment="1" applyBorder="1" applyFont="1">
      <alignment horizontal="center" readingOrder="0" vertical="bottom"/>
    </xf>
    <xf borderId="50" fillId="0" fontId="1" numFmtId="2" xfId="0" applyAlignment="1" applyBorder="1" applyFont="1" applyNumberFormat="1">
      <alignment horizontal="center"/>
    </xf>
    <xf borderId="50" fillId="0" fontId="1" numFmtId="2" xfId="0" applyAlignment="1" applyBorder="1" applyFont="1" applyNumberFormat="1">
      <alignment horizontal="center" readingOrder="0" vertical="bottom"/>
    </xf>
    <xf borderId="50" fillId="0" fontId="1" numFmtId="168" xfId="0" applyAlignment="1" applyBorder="1" applyFont="1" applyNumberFormat="1">
      <alignment horizontal="center" vertical="bottom"/>
    </xf>
    <xf borderId="50" fillId="0" fontId="1" numFmtId="2" xfId="0" applyAlignment="1" applyBorder="1" applyFont="1" applyNumberFormat="1">
      <alignment horizontal="center" vertical="bottom"/>
    </xf>
    <xf borderId="50" fillId="11" fontId="1" numFmtId="10" xfId="0" applyAlignment="1" applyBorder="1" applyFill="1" applyFont="1" applyNumberFormat="1">
      <alignment horizontal="center" vertical="bottom"/>
    </xf>
    <xf borderId="51" fillId="7" fontId="1" numFmtId="10" xfId="0" applyAlignment="1" applyBorder="1" applyFont="1" applyNumberFormat="1">
      <alignment horizontal="center" vertical="bottom"/>
    </xf>
    <xf borderId="52" fillId="0" fontId="2" numFmtId="14" xfId="0" applyAlignment="1" applyBorder="1" applyFont="1" applyNumberFormat="1">
      <alignment horizontal="center"/>
    </xf>
    <xf borderId="53" fillId="0" fontId="2" numFmtId="168" xfId="0" applyAlignment="1" applyBorder="1" applyFont="1" applyNumberFormat="1">
      <alignment horizontal="center"/>
    </xf>
    <xf borderId="53" fillId="0" fontId="2" numFmtId="0" xfId="0" applyAlignment="1" applyBorder="1" applyFont="1">
      <alignment horizontal="center"/>
    </xf>
    <xf borderId="53" fillId="0" fontId="2" numFmtId="2" xfId="0" applyAlignment="1" applyBorder="1" applyFont="1" applyNumberFormat="1">
      <alignment horizontal="center"/>
    </xf>
    <xf borderId="53" fillId="0" fontId="2" numFmtId="1" xfId="0" applyAlignment="1" applyBorder="1" applyFont="1" applyNumberFormat="1">
      <alignment horizontal="center"/>
    </xf>
    <xf borderId="53" fillId="0" fontId="2" numFmtId="10" xfId="0" applyAlignment="1" applyBorder="1" applyFont="1" applyNumberFormat="1">
      <alignment horizontal="center"/>
    </xf>
    <xf borderId="54" fillId="0" fontId="2" numFmtId="10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pivotCacheDefinition" Target="pivotCache/pivotCacheDefinition1.xml"/><Relationship Id="rId16" Type="http://schemas.openxmlformats.org/officeDocument/2006/relationships/worksheet" Target="worksheets/sheet1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TICKER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DIVERS!$B$1</c:f>
            </c:strRef>
          </c:tx>
          <c:dPt>
            <c:idx val="0"/>
            <c:spPr>
              <a:solidFill>
                <a:srgbClr val="4285F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EA4335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BBC0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34A853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FF6D01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46BDC6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7BAAF7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rgbClr val="F07B72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rgbClr val="FCD04F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rgbClr val="71C287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rgbClr val="FF994D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rgbClr val="7ED1D7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2"/>
            <c:spPr>
              <a:solidFill>
                <a:srgbClr val="B3CEFB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3"/>
            <c:spPr>
              <a:solidFill>
                <a:srgbClr val="F7B4AE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4"/>
            <c:spPr>
              <a:solidFill>
                <a:srgbClr val="999999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5"/>
            <c:spPr>
              <a:solidFill>
                <a:srgbClr val="AEDCBA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6"/>
            <c:spPr>
              <a:solidFill>
                <a:srgbClr val="FFC599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7"/>
            <c:spPr>
              <a:solidFill>
                <a:srgbClr val="999999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8"/>
            <c:spPr>
              <a:solidFill>
                <a:srgbClr val="ECF3FE"/>
              </a:solidFill>
              <a:ln cmpd="sng" w="9525">
                <a:solidFill>
                  <a:srgbClr val="000000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DIVERS!$A$2:$A$20</c:f>
            </c:strRef>
          </c:cat>
          <c:val>
            <c:numRef>
              <c:f>DIVERS!$B$2:$B$20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Yearly!$B$1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Yearly!$A$2:$A$4</c:f>
            </c:strRef>
          </c:cat>
          <c:val>
            <c:numRef>
              <c:f>Yearly!$B$2:$B$4</c:f>
              <c:numCache/>
            </c:numRef>
          </c:val>
        </c:ser>
        <c:ser>
          <c:idx val="1"/>
          <c:order val="1"/>
          <c:tx>
            <c:strRef>
              <c:f>Yearly!$C$1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Yearly!$A$2:$A$4</c:f>
            </c:strRef>
          </c:cat>
          <c:val>
            <c:numRef>
              <c:f>Yearly!$C$2:$C$4</c:f>
              <c:numCache/>
            </c:numRef>
          </c:val>
        </c:ser>
        <c:ser>
          <c:idx val="2"/>
          <c:order val="2"/>
          <c:tx>
            <c:strRef>
              <c:f>Yearly!$D$1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Yearly!$A$2:$A$4</c:f>
            </c:strRef>
          </c:cat>
          <c:val>
            <c:numRef>
              <c:f>Yearly!$D$2:$D$4</c:f>
              <c:numCache/>
            </c:numRef>
          </c:val>
        </c:ser>
        <c:ser>
          <c:idx val="3"/>
          <c:order val="3"/>
          <c:tx>
            <c:strRef>
              <c:f>Yearly!$E$1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Yearly!$A$2:$A$4</c:f>
            </c:strRef>
          </c:cat>
          <c:val>
            <c:numRef>
              <c:f>Yearly!$E$2:$E$4</c:f>
              <c:numCache/>
            </c:numRef>
          </c:val>
        </c:ser>
        <c:overlap val="100"/>
        <c:axId val="1044207555"/>
        <c:axId val="1598083675"/>
      </c:barChart>
      <c:catAx>
        <c:axId val="1044207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8083675"/>
      </c:catAx>
      <c:valAx>
        <c:axId val="15980836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420755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CURRENCY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DIVERS!$E$1</c:f>
            </c:strRef>
          </c:tx>
          <c:dPt>
            <c:idx val="0"/>
            <c:spPr>
              <a:solidFill>
                <a:srgbClr val="4285F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EA4335"/>
              </a:solidFill>
              <a:ln cmpd="sng" w="9525">
                <a:solidFill>
                  <a:srgbClr val="000000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DIVERS!$D$2:$D$3</c:f>
            </c:strRef>
          </c:cat>
          <c:val>
            <c:numRef>
              <c:f>DIVERS!$E$2:$E$3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SECTOR</a:t>
            </a:r>
          </a:p>
        </c:rich>
      </c:tx>
      <c:overlay val="0"/>
    </c:title>
    <c:plotArea>
      <c:layout/>
      <c:doughnutChart>
        <c:varyColors val="1"/>
        <c:ser>
          <c:idx val="0"/>
          <c:order val="0"/>
          <c:tx>
            <c:strRef>
              <c:f>DIVERS!$I$1</c:f>
            </c:strRef>
          </c:tx>
          <c:dPt>
            <c:idx val="0"/>
            <c:spPr>
              <a:solidFill>
                <a:srgbClr val="4285F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"/>
            <c:spPr>
              <a:solidFill>
                <a:srgbClr val="EA4335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2"/>
            <c:spPr>
              <a:solidFill>
                <a:srgbClr val="FBBC04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3"/>
            <c:spPr>
              <a:solidFill>
                <a:srgbClr val="34A853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4"/>
            <c:spPr>
              <a:solidFill>
                <a:srgbClr val="FF6D01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5"/>
            <c:spPr>
              <a:solidFill>
                <a:srgbClr val="46BDC6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6"/>
            <c:spPr>
              <a:solidFill>
                <a:srgbClr val="7BAAF7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7"/>
            <c:spPr>
              <a:solidFill>
                <a:srgbClr val="F07B72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8"/>
            <c:spPr>
              <a:solidFill>
                <a:srgbClr val="FCD04F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9"/>
            <c:spPr>
              <a:solidFill>
                <a:srgbClr val="71C287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0"/>
            <c:spPr>
              <a:solidFill>
                <a:srgbClr val="FF994D"/>
              </a:solidFill>
              <a:ln cmpd="sng" w="9525">
                <a:solidFill>
                  <a:srgbClr val="000000"/>
                </a:solidFill>
              </a:ln>
            </c:spPr>
          </c:dPt>
          <c:dPt>
            <c:idx val="11"/>
            <c:spPr>
              <a:solidFill>
                <a:srgbClr val="7ED1D7"/>
              </a:solidFill>
              <a:ln cmpd="sng" w="9525">
                <a:solidFill>
                  <a:srgbClr val="000000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DIVERS!$H$2:$H$13</c:f>
            </c:strRef>
          </c:cat>
          <c:val>
            <c:numRef>
              <c:f>DIVERS!$I$2:$I$13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Passive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Passive!$D$1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Passive!$A$2:$A$37</c:f>
            </c:strRef>
          </c:cat>
          <c:val>
            <c:numRef>
              <c:f>Passive!$D$2:$D$37</c:f>
              <c:numCache/>
            </c:numRef>
          </c:val>
        </c:ser>
        <c:axId val="1151021576"/>
        <c:axId val="2010591447"/>
      </c:barChart>
      <c:lineChart>
        <c:ser>
          <c:idx val="1"/>
          <c:order val="1"/>
          <c:tx>
            <c:strRef>
              <c:f>Passive!$H$1</c:f>
            </c:strRef>
          </c:tx>
          <c:spPr>
            <a:ln cmpd="sng" w="38100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Passive!$A$2:$A$37</c:f>
            </c:strRef>
          </c:cat>
          <c:val>
            <c:numRef>
              <c:f>Passive!$H$2:$H$37</c:f>
              <c:numCache/>
            </c:numRef>
          </c:val>
          <c:smooth val="0"/>
        </c:ser>
        <c:ser>
          <c:idx val="2"/>
          <c:order val="2"/>
          <c:tx>
            <c:strRef>
              <c:f>Passive!$I$1</c:f>
            </c:strRef>
          </c:tx>
          <c:spPr>
            <a:ln cmpd="sng" w="19050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Passive!$A$2:$A$37</c:f>
            </c:strRef>
          </c:cat>
          <c:val>
            <c:numRef>
              <c:f>Passive!$I$2:$I$37</c:f>
              <c:numCache/>
            </c:numRef>
          </c:val>
          <c:smooth val="0"/>
        </c:ser>
        <c:axId val="1151021576"/>
        <c:axId val="2010591447"/>
      </c:lineChart>
      <c:catAx>
        <c:axId val="115102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10591447"/>
      </c:catAx>
      <c:valAx>
        <c:axId val="20105914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Passive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510215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100k/mo относительно параметра "Month"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Passive!$J$1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10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Passive!$A$2:$A$37</c:f>
            </c:strRef>
          </c:cat>
          <c:val>
            <c:numRef>
              <c:f>Passive!$J$2:$J$37</c:f>
              <c:numCache/>
            </c:numRef>
          </c:val>
          <c:smooth val="0"/>
        </c:ser>
        <c:axId val="971644419"/>
        <c:axId val="395278656"/>
      </c:lineChart>
      <c:catAx>
        <c:axId val="971644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5278656"/>
      </c:catAx>
      <c:valAx>
        <c:axId val="3952786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100k/mo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7164441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Monthly!$G$1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Monthly!$G$2:$G$28</c:f>
              <c:numCache/>
            </c:numRef>
          </c:val>
        </c:ser>
        <c:ser>
          <c:idx val="1"/>
          <c:order val="1"/>
          <c:tx>
            <c:strRef>
              <c:f>Monthly!$H$1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Monthly!$H$2:$H$28</c:f>
              <c:numCache/>
            </c:numRef>
          </c:val>
        </c:ser>
        <c:ser>
          <c:idx val="2"/>
          <c:order val="2"/>
          <c:tx>
            <c:strRef>
              <c:f>Monthly!$I$1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Monthly!$I$2:$I$28</c:f>
              <c:numCache/>
            </c:numRef>
          </c:val>
        </c:ser>
        <c:ser>
          <c:idx val="3"/>
          <c:order val="3"/>
          <c:tx>
            <c:strRef>
              <c:f>Monthly!$J$1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Monthly!$J$2:$J$28</c:f>
              <c:numCache/>
            </c:numRef>
          </c:val>
        </c:ser>
        <c:overlap val="100"/>
        <c:axId val="516792879"/>
        <c:axId val="1801351482"/>
      </c:barChart>
      <c:catAx>
        <c:axId val="5167928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01351482"/>
      </c:catAx>
      <c:valAx>
        <c:axId val="18013514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1679287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Monthly!$G$1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Monthly!$G$2:$G$28</c:f>
              <c:numCache/>
            </c:numRef>
          </c:val>
        </c:ser>
        <c:ser>
          <c:idx val="1"/>
          <c:order val="1"/>
          <c:tx>
            <c:strRef>
              <c:f>Monthly!$H$1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Monthly!$H$2:$H$28</c:f>
              <c:numCache/>
            </c:numRef>
          </c:val>
        </c:ser>
        <c:ser>
          <c:idx val="2"/>
          <c:order val="2"/>
          <c:tx>
            <c:strRef>
              <c:f>Monthly!$I$1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Monthly!$I$2:$I$28</c:f>
              <c:numCache/>
            </c:numRef>
          </c:val>
        </c:ser>
        <c:ser>
          <c:idx val="3"/>
          <c:order val="3"/>
          <c:tx>
            <c:strRef>
              <c:f>Monthly!$J$1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Monthly!$J$2:$J$28</c:f>
              <c:numCache/>
            </c:numRef>
          </c:val>
        </c:ser>
        <c:overlap val="100"/>
        <c:axId val="1479106682"/>
        <c:axId val="1835336294"/>
      </c:barChart>
      <c:catAx>
        <c:axId val="14791066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35336294"/>
      </c:catAx>
      <c:valAx>
        <c:axId val="18353362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7910668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tx>
            <c:strRef>
              <c:f>Monthly!$H$1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Monthly!$H$2:$H$28</c:f>
              <c:numCache/>
            </c:numRef>
          </c:val>
        </c:ser>
        <c:ser>
          <c:idx val="1"/>
          <c:order val="1"/>
          <c:tx>
            <c:strRef>
              <c:f>Monthly!$I$1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Monthly!$I$2:$I$28</c:f>
              <c:numCache/>
            </c:numRef>
          </c:val>
        </c:ser>
        <c:ser>
          <c:idx val="2"/>
          <c:order val="2"/>
          <c:tx>
            <c:strRef>
              <c:f>Monthly!$J$1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Monthly!$J$2:$J$28</c:f>
              <c:numCache/>
            </c:numRef>
          </c:val>
        </c:ser>
        <c:overlap val="100"/>
        <c:axId val="1335385697"/>
        <c:axId val="1860201084"/>
      </c:barChart>
      <c:catAx>
        <c:axId val="13353856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0201084"/>
      </c:catAx>
      <c:valAx>
        <c:axId val="18602010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538569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Monthly!$A$2:$A$28</c:f>
            </c:strRef>
          </c:cat>
          <c:val>
            <c:numRef>
              <c:f>Monthly!$K$2:$K$28</c:f>
              <c:numCache/>
            </c:numRef>
          </c:val>
        </c:ser>
        <c:axId val="2134141313"/>
        <c:axId val="272014946"/>
      </c:barChart>
      <c:catAx>
        <c:axId val="21341413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72014946"/>
      </c:catAx>
      <c:valAx>
        <c:axId val="272014946"/>
        <c:scaling>
          <c:orientation val="minMax"/>
          <c:max val="0.2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3414131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Relationship Id="rId3" Type="http://schemas.openxmlformats.org/officeDocument/2006/relationships/chart" Target="../charts/chart8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161925</xdr:colOff>
      <xdr:row>0</xdr:row>
      <xdr:rowOff>171450</xdr:rowOff>
    </xdr:from>
    <xdr:ext cx="5715000" cy="3533775"/>
    <xdr:graphicFrame>
      <xdr:nvGraphicFramePr>
        <xdr:cNvPr id="10" name="Chart 1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21</xdr:row>
      <xdr:rowOff>95250</xdr:rowOff>
    </xdr:from>
    <xdr:ext cx="7115175" cy="4391025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923925</xdr:colOff>
      <xdr:row>4</xdr:row>
      <xdr:rowOff>28575</xdr:rowOff>
    </xdr:from>
    <xdr:ext cx="2895600" cy="2171700"/>
    <xdr:graphicFrame>
      <xdr:nvGraphicFramePr>
        <xdr:cNvPr id="2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43</xdr:row>
      <xdr:rowOff>123825</xdr:rowOff>
    </xdr:from>
    <xdr:ext cx="7115175" cy="4543425"/>
    <xdr:graphicFrame>
      <xdr:nvGraphicFramePr>
        <xdr:cNvPr id="3" name="Chart 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57150</xdr:colOff>
      <xdr:row>1</xdr:row>
      <xdr:rowOff>76200</xdr:rowOff>
    </xdr:from>
    <xdr:ext cx="5019675" cy="4295775"/>
    <xdr:graphicFrame>
      <xdr:nvGraphicFramePr>
        <xdr:cNvPr id="4" name="Chart 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57150</xdr:colOff>
      <xdr:row>23</xdr:row>
      <xdr:rowOff>9525</xdr:rowOff>
    </xdr:from>
    <xdr:ext cx="5019675" cy="3533775"/>
    <xdr:graphicFrame>
      <xdr:nvGraphicFramePr>
        <xdr:cNvPr id="5" name="Chart 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38100</xdr:colOff>
      <xdr:row>1</xdr:row>
      <xdr:rowOff>0</xdr:rowOff>
    </xdr:from>
    <xdr:ext cx="5715000" cy="3533775"/>
    <xdr:graphicFrame>
      <xdr:nvGraphicFramePr>
        <xdr:cNvPr id="6" name="Chart 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38100</xdr:colOff>
      <xdr:row>18</xdr:row>
      <xdr:rowOff>171450</xdr:rowOff>
    </xdr:from>
    <xdr:ext cx="5715000" cy="3533775"/>
    <xdr:graphicFrame>
      <xdr:nvGraphicFramePr>
        <xdr:cNvPr id="7" name="Chart 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38100</xdr:colOff>
      <xdr:row>36</xdr:row>
      <xdr:rowOff>142875</xdr:rowOff>
    </xdr:from>
    <xdr:ext cx="5715000" cy="3533775"/>
    <xdr:graphicFrame>
      <xdr:nvGraphicFramePr>
        <xdr:cNvPr id="8" name="Chart 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38100</xdr:colOff>
      <xdr:row>54</xdr:row>
      <xdr:rowOff>114300</xdr:rowOff>
    </xdr:from>
    <xdr:ext cx="5715000" cy="3533775"/>
    <xdr:graphicFrame>
      <xdr:nvGraphicFramePr>
        <xdr:cNvPr id="9" name="Chart 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C3:Q93" sheet="ILOG"/>
  </cacheSource>
  <cacheFields>
    <cacheField name="TICKER" numFmtId="0">
      <sharedItems>
        <s v="RUB"/>
        <s v="USD"/>
        <s v="GMKN"/>
        <s v="PHOR"/>
        <s v="SBERP"/>
        <s v="MRKP"/>
        <s v="LSRG"/>
        <s v="TATNP"/>
        <s v="NMTP"/>
        <s v="MTSS"/>
        <s v="T"/>
        <s v="XOM"/>
        <s v="ABBV"/>
        <s v="KO"/>
        <s v="IBM"/>
        <s v="PM"/>
        <s v="HBAN"/>
        <s v="EIX"/>
        <s v="POLY"/>
      </sharedItems>
    </cacheField>
    <cacheField name="CUR" numFmtId="0">
      <sharedItems>
        <s v="RUB"/>
        <s v="USD"/>
      </sharedItems>
    </cacheField>
    <cacheField name="SECTOR" numFmtId="0">
      <sharedItems>
        <s v="CASH"/>
        <s v="Металл"/>
        <s v="Химия"/>
        <s v="Банки"/>
        <s v="Энергетика"/>
        <s v="Строительство"/>
        <s v="Нефтегаз"/>
        <s v="Логистика"/>
        <s v="Телеком"/>
        <s v="IT"/>
        <s v="Медицина"/>
        <s v="Потребление"/>
      </sharedItems>
    </cacheField>
    <cacheField name="PRICE" numFmtId="0">
      <sharedItems containsString="0" containsBlank="1" containsNumber="1">
        <m/>
        <n v="16640.0"/>
        <n v="2523.0"/>
        <n v="200.69"/>
        <n v="0.2469"/>
        <n v="711.4"/>
        <n v="662.1"/>
        <n v="8.42"/>
        <n v="319.85"/>
        <n v="331.5"/>
        <n v="2225.96915"/>
        <n v="2232.628234"/>
        <n v="2782.4742"/>
        <n v="0.2202"/>
        <n v="202.62"/>
        <n v="2147.37621"/>
        <n v="3118.2290999999996"/>
        <n v="7673.2025300000005"/>
        <n v="470.3"/>
        <n v="3111.0"/>
        <n v="329.0"/>
        <n v="0.2431"/>
        <n v="862.0"/>
        <n v="2139.5513100000003"/>
        <n v="3593.122767"/>
        <n v="9162.1686"/>
        <n v="24940.0"/>
        <n v="939.8"/>
        <n v="0.2435"/>
        <n v="332.15"/>
        <n v="243.66"/>
        <n v="467.2"/>
        <n v="8866.057200000001"/>
        <n v="6460.272"/>
        <n v="2401.0959"/>
        <n v="6898.9781"/>
        <n v="8196.9517"/>
        <n v="849.6"/>
        <n v="2294.8447499999997"/>
        <n v="4160.7967499999995"/>
        <n v="4239.05625"/>
        <n v="2391.2472"/>
        <n v="7128.8496"/>
        <n v="8545.1922"/>
        <n v="4048.5101999999997"/>
        <n v="10932.6984"/>
        <n v="1154.4552"/>
        <n v="1185.3737999999998"/>
        <n v="780.575"/>
        <n v="0.2944"/>
        <n v="338.35"/>
        <n v="485.1"/>
        <n v="1089.8843"/>
        <n v="4102.7544"/>
        <n v="1695.9"/>
        <n v="1038.3842"/>
        <n v="4241.389"/>
        <n v="1675.8"/>
        <n v="1005.6813999999999"/>
        <n v="4096.951"/>
        <n v="1632.9"/>
        <n v="1040.9094"/>
        <n v="4200.0076"/>
        <n v="1562.1"/>
        <n v="1627.0"/>
        <n v="1593.1"/>
        <n v="1071.7591249999998"/>
        <n v="4057.0359"/>
        <n v="2052.537"/>
        <n v="1527.0"/>
        <n v="0.2439"/>
        <n v="4596.0"/>
        <n v="1141.569"/>
        <n v="4247.953874999999"/>
        <n v="2010.1859249999998"/>
        <n v="4038.6662249999995"/>
        <n v="4141.114725"/>
        <n v="1330.8"/>
        <n v="464.2"/>
        <n v="754.4"/>
        <n v="7931.8915"/>
        <n v="4018.5445"/>
        <n v="6977.1335"/>
        <n v="3836.444"/>
        <n v="1808.61435"/>
        <n v="9035.205100000001"/>
        <n v="1134.9430499999999"/>
        <n v="22118.0"/>
        <n v="312.65"/>
      </sharedItems>
    </cacheField>
    <cacheField name="COUNT" numFmtId="0">
      <sharedItems containsString="0" containsBlank="1" containsNumber="1" containsInteger="1">
        <m/>
        <n v="1.0"/>
        <n v="4.0"/>
        <n v="70.0"/>
        <n v="50000.0"/>
        <n v="23.0"/>
        <n v="24.0"/>
        <n v="1700.0"/>
        <n v="30.0"/>
        <n v="20.0"/>
        <n v="5.0"/>
        <n v="3.0"/>
        <n v="10000.0"/>
        <n v="8.0"/>
        <n v="7.0"/>
        <n v="42.0"/>
        <n v="6.0"/>
        <n v="40.0"/>
        <n v="70000.0"/>
        <n v="13.0"/>
        <n v="10.0"/>
        <n v="2.0"/>
        <n v="30000.0"/>
        <n v="17.0"/>
        <n v="11.0"/>
        <n v="16.0"/>
        <n v="19.0"/>
        <n v="12.0"/>
        <n v="14.0"/>
      </sharedItems>
    </cacheField>
    <cacheField name="SUM" numFmtId="0">
      <sharedItems containsString="0" containsBlank="1" containsNumber="1">
        <m/>
        <n v="16640.0"/>
        <n v="10092.0"/>
        <n v="14048.3"/>
        <n v="12345.0"/>
        <n v="16362.199999999999"/>
        <n v="15890.400000000001"/>
        <n v="14314.0"/>
        <n v="9595.5"/>
        <n v="6630.0"/>
        <n v="2225.96915"/>
        <n v="11163.141169999999"/>
        <n v="8347.4226"/>
        <n v="2202.0"/>
        <n v="14183.4"/>
        <n v="17179.00968"/>
        <n v="21827.603699999996"/>
        <n v="30692.810120000002"/>
        <n v="19752.600000000002"/>
        <n v="18666.0"/>
        <n v="13160.0"/>
        <n v="17017.0"/>
        <n v="11206.0"/>
        <n v="6418.65393"/>
        <n v="35931.22767"/>
        <n v="18324.3372"/>
        <n v="24940.0"/>
        <n v="4699.0"/>
        <n v="7305.0"/>
        <n v="9964.5"/>
        <n v="4873.2"/>
        <n v="7942.4"/>
        <n v="17732.114400000002"/>
        <n v="19380.816"/>
        <n v="2401.0959"/>
        <n v="20696.9343"/>
        <n v="8196.9517"/>
        <n v="9345.6"/>
        <n v="4589.6894999999995"/>
        <n v="4160.7967499999995"/>
        <n v="4239.05625"/>
        <n v="2391.2472"/>
        <n v="7128.8496"/>
        <n v="8545.1922"/>
        <n v="4048.5101999999997"/>
        <n v="10932.6984"/>
        <n v="11544.552000000001"/>
        <n v="18965.980799999998"/>
        <n v="6244.6"/>
        <n v="2944.0"/>
        <n v="10150.5"/>
        <n v="9216.9"/>
        <n v="2179.7686"/>
        <n v="8205.5088"/>
        <n v="1695.9"/>
        <n v="2076.7684"/>
        <n v="8482.778"/>
        <n v="3351.6"/>
        <n v="3017.0442"/>
        <n v="4096.951"/>
        <n v="3265.8"/>
        <n v="5204.5470000000005"/>
        <n v="12600.022799999999"/>
        <n v="4686.299999999999"/>
        <n v="9762.0"/>
        <n v="19117.199999999997"/>
        <n v="6430.554749999999"/>
        <n v="12171.1077"/>
        <n v="4105.074"/>
        <n v="9162.0"/>
        <n v="7317.0"/>
        <n v="4596.0"/>
        <n v="2283.138"/>
        <n v="4247.953874999999"/>
        <n v="6030.557774999999"/>
        <n v="8077.332449999999"/>
        <n v="4141.114725"/>
        <n v="10646.4"/>
        <n v="6498.8"/>
        <n v="8298.4"/>
        <n v="7931.8915"/>
        <n v="4018.5445"/>
        <n v="6977.1335"/>
        <n v="3836.444"/>
        <n v="10851.6861"/>
        <n v="9035.205100000001"/>
        <n v="4539.772199999999"/>
        <n v="22118.0"/>
        <n v="6253.0"/>
      </sharedItems>
    </cacheField>
    <cacheField name="COMISSION" numFmtId="0">
      <sharedItems containsString="0" containsBlank="1" containsNumber="1">
        <m/>
        <n v="111.53999999999999"/>
        <n v="67.656"/>
        <n v="65.85"/>
        <n v="57.870000000000005"/>
        <n v="76.71000000000001"/>
        <n v="74.49000000000001"/>
        <n v="102.212"/>
        <n v="68.5165"/>
        <n v="19.89"/>
        <n v="14.29655"/>
        <n v="70.779065"/>
        <n v="46.60980000000001"/>
        <n v="6.61"/>
        <n v="42.55"/>
        <n v="50.12756"/>
        <n v="67.08247"/>
        <n v="92.14625"/>
        <n v="59.26"/>
        <n v="56.0"/>
        <n v="39.48"/>
        <n v="51.05"/>
        <n v="33.62"/>
        <n v="19.16642"/>
        <n v="108.36399"/>
        <n v="53.07624"/>
        <n v="74.82"/>
        <n v="14.1"/>
        <n v="21.91"/>
        <n v="29.89"/>
        <n v="14.62"/>
        <n v="23.83"/>
        <n v="53.1432"/>
        <n v="59.1948"/>
        <n v="6.986699999999999"/>
        <n v="62.104"/>
        <n v="24.8416"/>
        <n v="28.03"/>
        <n v="13.8105"/>
        <n v="12.276"/>
        <n v="13.04325"/>
        <n v="7.481999999999999"/>
        <n v="21.697799999999997"/>
        <n v="25.4388"/>
        <n v="11.9712"/>
        <n v="32.9208"/>
        <n v="33.9112"/>
        <n v="57.3924"/>
        <n v="18.73"/>
        <n v="8.83"/>
        <n v="30.35"/>
        <n v="27.65"/>
        <n v="7.213"/>
        <n v="24.5242"/>
        <n v="5.09"/>
        <n v="5.760800000000001"/>
        <n v="25.9236"/>
        <n v="10.05"/>
        <n v="8.732399999999998"/>
        <n v="12.3709"/>
        <n v="9.8"/>
        <n v="8.7288"/>
        <n v="37.0974"/>
        <n v="14.06"/>
        <n v="29.29"/>
        <n v="57.35"/>
        <n v="18.9241"/>
        <n v="36.3925"/>
        <n v="11.6456"/>
        <n v="27.49"/>
        <n v="13.79"/>
        <n v="7.31775"/>
        <n v="12.440175"/>
        <n v="18.294375"/>
        <n v="24.148575"/>
        <n v="31.94"/>
        <n v="19.5"/>
        <n v="24.89"/>
        <n v="23.9415"/>
        <n v="12.3335"/>
        <n v="21.039499999999997"/>
        <n v="11.608"/>
        <n v="32.8969"/>
        <n v="27.1757"/>
        <n v="14.303"/>
        <n v="66.35"/>
        <n v="18.76"/>
      </sharedItems>
    </cacheField>
    <cacheField name="DIVS" numFmtId="0">
      <sharedItems containsString="0" containsBlank="1" containsNumber="1">
        <m/>
        <n v="3689.79"/>
        <n v="2712.0"/>
        <n v="2618.0"/>
        <n v="2112.51"/>
        <n v="2047.0"/>
        <n v="1511.88"/>
        <n v="2397.0"/>
        <n v="2394.3"/>
        <n v="919.8000000000001"/>
        <n v="174.72719999999998"/>
        <n v="869.9184"/>
        <n v="687.845"/>
        <n v="259.26"/>
        <n v="1309.0"/>
        <n v="1102.4024000000002"/>
        <n v="1201.8188"/>
        <n v="1037.5092"/>
        <n v="1210.44"/>
        <n v="1944.0"/>
        <n v="1482.4"/>
        <n v="1814.83"/>
        <n v="507.0"/>
        <n v="306.964"/>
        <n v="840.105"/>
        <n v="639.3163"/>
        <n v="1021.22"/>
        <n v="195.0"/>
        <n v="777.79"/>
        <n v="1111.8"/>
        <n v="374.0"/>
        <n v="489.93999999999994"/>
        <n v="426.4225"/>
        <n v="796.8969379999999"/>
        <n v="103.0522"/>
        <n v="528.572"/>
        <n v="172.8558"/>
        <n v="429.0"/>
        <n v="136.0744"/>
        <n v="55.4762"/>
        <n v="113.5212"/>
        <n v="68.0372"/>
        <n v="175.70850000000002"/>
        <n v="86.6034"/>
        <n v="213.934"/>
        <n v="196.02000000000004"/>
        <n v="313.63200000000006"/>
        <n v="547.5799999999999"/>
        <n v="39.20400000000001"/>
        <n v="172.2525"/>
        <n v="32.673375"/>
        <n v="19.521"/>
        <n v="65.34675"/>
        <n v="29.642999999999997"/>
        <n v="86.85"/>
        <n v="49.164"/>
        <n v="259.1025"/>
        <n v="98.02012500000001"/>
        <n v="196.04025000000001"/>
        <n v="392.08050000000003"/>
        <n v="58.563"/>
        <n v="127.5554"/>
        <n v="66.98440000000001"/>
        <n v="156.0"/>
        <n v="42.756"/>
        <n v="99.764"/>
        <n v="27.3714"/>
        <n v="231.28"/>
      </sharedItems>
    </cacheField>
    <cacheField name="CASH" numFmtId="1">
      <sharedItems containsString="0" containsBlank="1" containsNumber="1">
        <n v="29375.37"/>
        <n v="34433.326180000004"/>
        <m/>
      </sharedItems>
    </cacheField>
    <cacheField name="TAX" numFmtId="0">
      <sharedItems containsString="0" containsBlank="1" containsNumber="1">
        <m/>
        <n v="480.0"/>
        <n v="378.28999999999996"/>
        <n v="339.19"/>
        <n v="274.53"/>
        <n v="266.77"/>
        <n v="198.87"/>
        <n v="311.0"/>
        <n v="297.8"/>
        <n v="112.53"/>
        <n v="33.71"/>
        <n v="170.19"/>
        <n v="157.28"/>
        <n v="253.04000000000002"/>
        <n v="181.07"/>
        <n v="235.94"/>
        <n v="66.0"/>
        <n v="133.0"/>
        <n v="25.38"/>
        <n v="101.12"/>
        <n v="135.8"/>
        <n v="48.63"/>
        <n v="63.660000000000004"/>
        <n v="55.85"/>
        <n v="71.14"/>
        <n v="20.27"/>
        <n v="30.05"/>
      </sharedItems>
    </cacheField>
    <cacheField name="PROFIT" numFmtId="0">
      <sharedItems containsString="0" containsBlank="1" containsNumber="1">
        <m/>
        <n v="3098.25"/>
        <n v="2266.054"/>
        <n v="2212.96"/>
        <n v="1780.1100000000001"/>
        <n v="1703.52"/>
        <n v="1238.5200000000002"/>
        <n v="1983.788"/>
        <n v="2027.9835"/>
        <n v="787.3800000000001"/>
        <n v="160.43064999999999"/>
        <n v="799.1393350000001"/>
        <n v="641.2352000000001"/>
        <n v="218.93999999999997"/>
        <n v="1096.26"/>
        <n v="1052.2748400000003"/>
        <n v="1134.73633"/>
        <n v="945.36295"/>
        <n v="993.9000000000001"/>
        <n v="1634.96"/>
        <n v="1261.8500000000001"/>
        <n v="1527.84"/>
        <n v="407.38"/>
        <n v="287.79758"/>
        <n v="731.74101"/>
        <n v="586.24006"/>
        <n v="813.4000000000001"/>
        <n v="155.52"/>
        <n v="654.76"/>
        <n v="946.11"/>
        <n v="310.75"/>
        <n v="402.44999999999993"/>
        <n v="373.27930000000003"/>
        <n v="737.7021379999999"/>
        <n v="96.0655"/>
        <n v="466.468"/>
        <n v="148.0142"/>
        <n v="345.12"/>
        <n v="122.26389999999999"/>
        <n v="43.200199999999995"/>
        <n v="100.47794999999999"/>
        <n v="60.5552"/>
        <n v="154.0107"/>
        <n v="61.16459999999999"/>
        <n v="43.504999999999995"/>
        <n v="181.01319999999998"/>
        <n v="162.10880000000003"/>
        <n v="256.23960000000005"/>
        <n v="-18.73"/>
        <n v="216.71999999999997"/>
        <n v="945.65"/>
        <n v="448.78999999999996"/>
        <n v="31.991000000000007"/>
        <n v="147.7283"/>
        <n v="27.583375"/>
        <n v="13.760200000000001"/>
        <n v="146.3289"/>
        <n v="55.29675"/>
        <n v="20.9106"/>
        <n v="74.47909999999999"/>
        <n v="55.54675"/>
        <n v="40.4352"/>
        <n v="222.00510000000003"/>
        <n v="83.960125"/>
        <n v="166.75025000000002"/>
        <n v="334.7305"/>
        <n v="39.63890000000001"/>
        <n v="91.16290000000001"/>
        <n v="55.338800000000006"/>
        <n v="168.55025"/>
        <n v="-8.83"/>
        <n v="121.94"/>
        <n v="12.20325"/>
        <n v="30.315825"/>
        <n v="81.469625"/>
        <n v="-24.148575"/>
        <n v="14.931225000000001"/>
        <n v="-31.94"/>
        <n v="181.73"/>
        <n v="-24.89"/>
        <n v="-23.9415"/>
        <n v="-12.3335"/>
        <n v="-21.039499999999997"/>
        <n v="-11.608"/>
        <n v="-32.8969"/>
        <n v="-27.1757"/>
        <n v="-14.303"/>
        <n v="-66.35"/>
        <n v="-18.76"/>
      </sharedItems>
    </cacheField>
    <cacheField name="PAYBACK" numFmtId="0">
      <sharedItems containsString="0" containsBlank="1" containsNumber="1">
        <m/>
        <n v="0.18619290865384616"/>
        <n v="0.22453963535473642"/>
        <n v="0.15752510979976225"/>
        <n v="0.14419684082624545"/>
        <n v="0.10411313881996309"/>
        <n v="0.07794139858027489"/>
        <n v="0.13859075031437754"/>
        <n v="0.21134735032046273"/>
        <n v="0.11876018099547513"/>
        <n v="0.07207227018397806"/>
        <n v="0.07158731783735027"/>
        <n v="0.0768183463000903"/>
        <n v="0.09942779291553132"/>
        <n v="0.07729176361098185"/>
        <n v="0.06125352157086626"/>
        <n v="0.051986298889969314"/>
        <n v="0.030800794919197835"/>
        <n v="0.0503174265666292"/>
        <n v="0.08759027108111005"/>
        <n v="0.09588525835866263"/>
        <n v="0.08978315801845213"/>
        <n v="0.03635373906835624"/>
        <n v="0.04483768452679298"/>
        <n v="0.020365043374539392"/>
        <n v="0.031992429172281324"/>
        <n v="0.03261427425821973"/>
        <n v="0.03309640349010428"/>
        <n v="0.08963175906913073"/>
        <n v="0.09494806563299714"/>
        <n v="0.06376713453172454"/>
        <n v="0.050671081788879926"/>
        <n v="0.0210510315678992"/>
        <n v="0.038063523125135695"/>
        <n v="0.040009022546746265"/>
        <n v="0.0225380239043422"/>
        <n v="0.018057224858358017"/>
        <n v="0.03692860811504879"/>
        <n v="0.026638817288184746"/>
        <n v="0.010382674904752316"/>
        <n v="0.023702905570078245"/>
        <n v="0.02532368882648352"/>
        <n v="0.021603864387881044"/>
        <n v="0.007157779318293156"/>
        <n v="0.01074592821823692"/>
        <n v="0.016557046886064287"/>
        <n v="0.014042017394871625"/>
        <n v="0.013510485046995306"/>
        <n v="-0.002999391474233738"/>
        <n v="0.0736141304347826"/>
        <n v="0.09316289837939018"/>
        <n v="0.04869207651162538"/>
        <n v="0.014676328487344945"/>
        <n v="0.018003551467765166"/>
        <n v="0.016264741435226132"/>
        <n v="0.0066257749299344125"/>
        <n v="0.0172501154692484"/>
        <n v="0.016498612602935912"/>
        <n v="0.00693082322095248"/>
        <n v="0.01817915322882797"/>
        <n v="0.017008619633780392"/>
        <n v="0.0077692064266111915"/>
        <n v="0.017619420498191485"/>
        <n v="0.01791607984977488"/>
        <n v="0.017081566277402174"/>
        <n v="0.01750938945033792"/>
        <n v="0.006164149368295171"/>
        <n v="0.00749010708367982"/>
        <n v="0.013480585246453538"/>
        <n v="0.01839666557520192"/>
        <n v="-0.0012067787344540112"/>
        <n v="0.02653176675369887"/>
        <n v="0.005344946297595678"/>
        <n v="0.00713657113332004"/>
        <n v="0.01350946762134287"/>
        <n v="-0.0029896720420366013"/>
        <n v="0.0036056052516149502"/>
        <n v="-0.0030000751427712658"/>
        <n v="0.027963624053671445"/>
        <n v="-0.0029993733731803725"/>
        <n v="-0.003018384706850819"/>
        <n v="-0.003069146055244629"/>
        <n v="-0.0030154933971092853"/>
        <n v="-0.0030257186081694403"/>
        <n v="-0.0030315012521418216"/>
        <n v="-0.0030077568466044"/>
        <n v="-0.0031505986137366107"/>
        <n v="-0.0029998191518220453"/>
        <n v="-0.0030001599232368464"/>
      </sharedItems>
    </cacheField>
    <cacheField name="DIV%" numFmtId="0">
      <sharedItems containsString="0" containsBlank="1" containsNumber="1">
        <m/>
        <n v="0.07775790807626298"/>
        <n v="0.09377227334608557"/>
        <n v="0.0668565872987363"/>
        <n v="0.06119982197858092"/>
        <n v="0.044187553103821546"/>
        <n v="0.033706884457109405"/>
        <n v="0.06315308847034681"/>
        <n v="0.09802005446882961"/>
        <n v="0.07768363093790039"/>
        <n v="0.04714404770098923"/>
        <n v="0.048839945814267004"/>
        <n v="0.053508962594528545"/>
        <n v="0.0692579091873453"/>
        <n v="0.05597518594842932"/>
        <n v="0.053232227079443306"/>
        <n v="0.04517856927342571"/>
        <n v="0.02676735748930288"/>
        <n v="0.043728239754332515"/>
        <n v="0.07612011653477421"/>
        <n v="0.08332885547836157"/>
        <n v="0.07802583970651197"/>
        <n v="0.031593130380833404"/>
        <n v="0.04122356385964594"/>
        <n v="0.01872352854334226"/>
        <n v="0.03048886853233077"/>
        <n v="0.03108148852284648"/>
        <n v="0.031540958939655514"/>
        <n v="0.08541930041836218"/>
        <n v="0.09048575445442285"/>
        <n v="0.060770245702557325"/>
        <n v="0.04828967324527721"/>
        <n v="0.0212254876306166"/>
        <n v="0.04074248076444143"/>
        <n v="0.04563529134238246"/>
        <n v="0.02570743351589032"/>
        <n v="0.020596522104064614"/>
        <n v="0.04212169363122752"/>
        <n v="0.03177505983721383"/>
        <n v="0.01238456320338103"/>
        <n v="0.028273073637511633"/>
        <n v="0.0316546110331044"/>
        <n v="0.027004830484851305"/>
        <n v="0.008947224147866445"/>
        <n v="0.013432410272796149"/>
        <n v="0.020696308607580358"/>
        <n v="0.018436461687511306"/>
        <n v="0.01867926909906548"/>
        <n v="-0.004146885939754978"/>
        <n v="0.10177711215415018"/>
        <n v="0.1288047648048387"/>
        <n v="0.06732048457099722"/>
        <n v="0.02084381283222142"/>
        <n v="0.02556924624799333"/>
        <n v="0.023099730053920384"/>
        <n v="0.009673631397704241"/>
        <n v="0.02518516858510266"/>
        <n v="0.02408797440028643"/>
        <n v="0.010410495784558252"/>
        <n v="0.02730613550832185"/>
        <n v="0.025547926610410877"/>
        <n v="0.012015933668275783"/>
        <n v="0.02725037492305039"/>
        <n v="0.027709191293084034"/>
        <n v="0.027226077254374644"/>
        <n v="0.02972524255522484"/>
        <n v="0.01119360457426735"/>
        <n v="0.013601438236533005"/>
        <n v="0.02447966972614697"/>
        <n v="0.03590793013341551"/>
        <n v="-0.002355477208961038"/>
        <n v="0.051786603556684956"/>
        <n v="0.01127690981862672"/>
        <n v="0.015056927535617425"/>
        <n v="0.028502633998786983"/>
        <n v="-0.006307689568458725"/>
        <n v="0.007607201831441947"/>
        <n v="-0.007204127809944157"/>
        <n v="0.06714949197098735"/>
        <n v="-0.007202442639544973"/>
        <n v="-0.007983408826090934"/>
        <n v="-0.008117668914233983"/>
        <n v="-0.007975761521339777"/>
        <n v="-0.008002806463636563"/>
        <n v="-0.010059072336652408"/>
        <n v="-0.0099802840819146"/>
        <n v="-0.010454259036489662"/>
        <n v="-0.009953945367409513"/>
        <n v="-0.009955076108922264"/>
      </sharedItems>
    </cacheField>
    <cacheField name="NOW">
      <sharedItems containsBlank="1" containsMixedTypes="1" containsNumber="1">
        <m/>
        <s v="20454"/>
        <s v="5843"/>
        <s v="220,64"/>
        <s v="0,2008"/>
        <s v="730,6"/>
        <s v="407,6"/>
        <s v="5,97"/>
        <s v="261"/>
        <n v="1867.54106"/>
        <n v="6052.49168"/>
        <n v="11268.61914"/>
        <n v="4893.0045199999995"/>
        <n v="9728.8953"/>
        <n v="8732.14318"/>
        <n v="1240.0723"/>
        <n v="4689.58572"/>
        <s v="1165,8"/>
      </sharedItems>
    </cacheField>
    <cacheField name="NOWSUM" numFmtId="1">
      <sharedItems containsSemiMixedTypes="0" containsString="0" containsNumber="1">
        <n v="29375.37"/>
        <n v="34433.326180000004"/>
        <n v="20454.0"/>
        <n v="23372.0"/>
        <n v="15444.8"/>
        <n v="10040.0"/>
        <n v="16803.8"/>
        <n v="9782.400000000001"/>
        <n v="10149.0"/>
        <n v="7830.0"/>
        <n v="5220.0"/>
        <n v="1867.54106"/>
        <n v="9337.7053"/>
        <n v="18157.47504"/>
        <n v="2008.0"/>
        <n v="14940.32848"/>
        <n v="42367.44176"/>
        <n v="45074.47656"/>
        <n v="17119.2"/>
        <n v="35058.0"/>
        <n v="10440.0"/>
        <n v="14056.0"/>
        <n v="9497.800000000001"/>
        <n v="5602.6231800000005"/>
        <n v="48930.04519999999"/>
        <n v="19457.7906"/>
        <n v="3653.0"/>
        <n v="6024.0"/>
        <n v="4412.799999999999"/>
        <n v="6929.200000000001"/>
        <n v="26196.429539999997"/>
        <n v="11268.61914"/>
        <n v="8036.6"/>
        <n v="3735.08212"/>
        <n v="4893.0045199999995"/>
        <n v="6052.49168"/>
        <n v="8732.14318"/>
        <n v="9728.8953"/>
        <n v="12400.723"/>
        <n v="19841.1568"/>
        <n v="5844.8"/>
        <n v="7744.400000000001"/>
        <n v="2480.1446"/>
        <n v="9379.17144"/>
        <n v="1165.8"/>
        <n v="2331.6"/>
        <n v="3720.2169000000004"/>
        <n v="4689.58572"/>
        <n v="6200.3615"/>
        <n v="14068.757160000001"/>
        <n v="3497.3999999999996"/>
        <n v="6994.799999999999"/>
        <n v="13989.599999999999"/>
        <n v="7440.433800000001"/>
        <n v="5843.0"/>
        <n v="12104.98336"/>
        <n v="9326.4"/>
        <n v="5706.400000000001"/>
        <n v="11205.246360000001"/>
        <n v="4960.2892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DIVERS" cacheId="0" dataCaption="" compact="0" compactData="0">
  <location ref="A1:B21" firstHeaderRow="0" firstDataRow="1" firstDataCol="0"/>
  <pivotFields>
    <pivotField name="TICKER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CUR" compact="0" outline="0" multipleItemSelectionAllowed="1" showAll="0">
      <items>
        <item x="0"/>
        <item x="1"/>
        <item t="default"/>
      </items>
    </pivotField>
    <pivotField name="SECTO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PRI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U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SU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MISS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IV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CASH" compact="0" numFmtId="1" outline="0" multipleItemSelectionAllowed="1" showAll="0">
      <items>
        <item x="0"/>
        <item x="1"/>
        <item x="2"/>
        <item t="default"/>
      </items>
    </pivotField>
    <pivotField name="TAX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ROFI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PAYBAC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DIV%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NOW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NOWSUM" dataField="1" compact="0" numFmtId="1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</pivotFields>
  <rowFields>
    <field x="0"/>
  </rowFields>
  <dataFields>
    <dataField name="SUM of NOWSUM" fld="14" showDataAs="percentOfCol" baseField="0" numFmtId="10"/>
  </dataFields>
</pivotTableDefinition>
</file>

<file path=xl/pivotTables/pivotTable2.xml><?xml version="1.0" encoding="utf-8"?>
<pivotTableDefinition xmlns="http://schemas.openxmlformats.org/spreadsheetml/2006/main" name="DIVERS 2" cacheId="0" dataCaption="" compact="0" compactData="0">
  <location ref="D1:F4" firstHeaderRow="0" firstDataRow="2" firstDataCol="0"/>
  <pivotFields>
    <pivotField name="TICK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ame="CUR" axis="axisRow" compact="0" outline="0" multipleItemSelectionAllowed="1" showAll="0" sortType="ascending">
      <items>
        <item x="0"/>
        <item x="1"/>
        <item t="default"/>
      </items>
    </pivotField>
    <pivotField name="SECTO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PRI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U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SU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MISS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IV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CASH" compact="0" numFmtId="1" outline="0" multipleItemSelectionAllowed="1" showAll="0">
      <items>
        <item x="0"/>
        <item x="1"/>
        <item x="2"/>
        <item t="default"/>
      </items>
    </pivotField>
    <pivotField name="TAX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ROFI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PAYBAC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DIV%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NOW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NOWSUM" dataField="1" compact="0" numFmtId="1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</pivotFields>
  <rowFields>
    <field x="1"/>
  </rowFields>
  <colFields>
    <field x="-2"/>
  </colFields>
  <dataFields>
    <dataField name="SUM of NOWSUM" fld="14" showDataAs="percentOfCol" baseField="0" numFmtId="10"/>
    <dataField name="SUM of NOWSUM" fld="14" baseField="0"/>
  </dataFields>
</pivotTableDefinition>
</file>

<file path=xl/pivotTables/pivotTable3.xml><?xml version="1.0" encoding="utf-8"?>
<pivotTableDefinition xmlns="http://schemas.openxmlformats.org/spreadsheetml/2006/main" name="DIVERS 3" cacheId="0" dataCaption="" rowGrandTotals="0" compact="0" compactData="0">
  <location ref="H1:I13" firstHeaderRow="0" firstDataRow="1" firstDataCol="0"/>
  <pivotFields>
    <pivotField name="TICK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name="CUR" compact="0" outline="0" multipleItemSelectionAllowed="1" showAll="0">
      <items>
        <item x="0"/>
        <item x="1"/>
        <item t="default"/>
      </items>
    </pivotField>
    <pivotField name="SECTOR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PRI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U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SU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COMISS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IV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CASH" compact="0" numFmtId="1" outline="0" multipleItemSelectionAllowed="1" showAll="0">
      <items>
        <item x="0"/>
        <item x="1"/>
        <item x="2"/>
        <item t="default"/>
      </items>
    </pivotField>
    <pivotField name="TAX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PROFI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PAYBACK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DIV%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name="NOW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NOWSUM" dataField="1" compact="0" numFmtId="1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</pivotFields>
  <rowFields>
    <field x="2"/>
  </rowFields>
  <dataFields>
    <dataField name="SUM of NOWSUM" fld="14" showDataAs="percentOfCol" baseField="0" numFmtId="1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ru.investing.com/equities/polymetal?cid=44465" TargetMode="External"/><Relationship Id="rId42" Type="http://schemas.openxmlformats.org/officeDocument/2006/relationships/hyperlink" Target="https://ru.investing.com/equities/edison-intl" TargetMode="External"/><Relationship Id="rId41" Type="http://schemas.openxmlformats.org/officeDocument/2006/relationships/hyperlink" Target="https://ru.investing.com/equities/huntgtn-bkshr" TargetMode="External"/><Relationship Id="rId44" Type="http://schemas.openxmlformats.org/officeDocument/2006/relationships/hyperlink" Target="https://ru.investing.com/equities/polymetal?cid=44465" TargetMode="External"/><Relationship Id="rId43" Type="http://schemas.openxmlformats.org/officeDocument/2006/relationships/hyperlink" Target="https://ru.investing.com/equities/at-t" TargetMode="External"/><Relationship Id="rId46" Type="http://schemas.openxmlformats.org/officeDocument/2006/relationships/hyperlink" Target="https://ru.investing.com/equities/edison-intl" TargetMode="External"/><Relationship Id="rId45" Type="http://schemas.openxmlformats.org/officeDocument/2006/relationships/hyperlink" Target="https://ru.investing.com/equities/huntgtn-bkshr" TargetMode="External"/><Relationship Id="rId1" Type="http://schemas.openxmlformats.org/officeDocument/2006/relationships/hyperlink" Target="https://ru.investing.com/portfolio/?portfolioID=YmBiNzFuMGU0ZTs0M2U%3D" TargetMode="External"/><Relationship Id="rId2" Type="http://schemas.openxmlformats.org/officeDocument/2006/relationships/hyperlink" Target="https://ru.investing.com/equities/at-t" TargetMode="External"/><Relationship Id="rId3" Type="http://schemas.openxmlformats.org/officeDocument/2006/relationships/hyperlink" Target="https://ru.investing.com/equities/at-t" TargetMode="External"/><Relationship Id="rId4" Type="http://schemas.openxmlformats.org/officeDocument/2006/relationships/hyperlink" Target="https://ru.investing.com/equities/exxon-mobil" TargetMode="External"/><Relationship Id="rId9" Type="http://schemas.openxmlformats.org/officeDocument/2006/relationships/hyperlink" Target="https://ru.investing.com/equities/at-t" TargetMode="External"/><Relationship Id="rId48" Type="http://schemas.openxmlformats.org/officeDocument/2006/relationships/hyperlink" Target="https://ru.investing.com/equities/exxon-mobil" TargetMode="External"/><Relationship Id="rId47" Type="http://schemas.openxmlformats.org/officeDocument/2006/relationships/hyperlink" Target="https://ru.investing.com/equities/at-t" TargetMode="External"/><Relationship Id="rId49" Type="http://schemas.openxmlformats.org/officeDocument/2006/relationships/hyperlink" Target="https://ru.investing.com/equities/coca-cola-co" TargetMode="External"/><Relationship Id="rId5" Type="http://schemas.openxmlformats.org/officeDocument/2006/relationships/hyperlink" Target="https://ru.investing.com/equities/mrsk-cip" TargetMode="External"/><Relationship Id="rId6" Type="http://schemas.openxmlformats.org/officeDocument/2006/relationships/hyperlink" Target="https://ru.investing.com/equities/at-t" TargetMode="External"/><Relationship Id="rId7" Type="http://schemas.openxmlformats.org/officeDocument/2006/relationships/hyperlink" Target="https://ru.investing.com/equities/exxon-mobil" TargetMode="External"/><Relationship Id="rId8" Type="http://schemas.openxmlformats.org/officeDocument/2006/relationships/hyperlink" Target="https://ru.investing.com/equities/abbvie-inc" TargetMode="External"/><Relationship Id="rId31" Type="http://schemas.openxmlformats.org/officeDocument/2006/relationships/hyperlink" Target="https://ru.investing.com/equities/edison-intl" TargetMode="External"/><Relationship Id="rId30" Type="http://schemas.openxmlformats.org/officeDocument/2006/relationships/hyperlink" Target="https://ru.investing.com/equities/huntgtn-bkshr" TargetMode="External"/><Relationship Id="rId33" Type="http://schemas.openxmlformats.org/officeDocument/2006/relationships/hyperlink" Target="https://ru.investing.com/equities/huntgtn-bkshr" TargetMode="External"/><Relationship Id="rId32" Type="http://schemas.openxmlformats.org/officeDocument/2006/relationships/hyperlink" Target="https://ru.investing.com/equities/polymetal?cid=44465" TargetMode="External"/><Relationship Id="rId35" Type="http://schemas.openxmlformats.org/officeDocument/2006/relationships/hyperlink" Target="https://ru.investing.com/equities/polymetal?cid=44465" TargetMode="External"/><Relationship Id="rId34" Type="http://schemas.openxmlformats.org/officeDocument/2006/relationships/hyperlink" Target="https://ru.investing.com/equities/edison-intl" TargetMode="External"/><Relationship Id="rId37" Type="http://schemas.openxmlformats.org/officeDocument/2006/relationships/hyperlink" Target="https://ru.investing.com/equities/edison-intl" TargetMode="External"/><Relationship Id="rId36" Type="http://schemas.openxmlformats.org/officeDocument/2006/relationships/hyperlink" Target="https://ru.investing.com/equities/huntgtn-bkshr" TargetMode="External"/><Relationship Id="rId39" Type="http://schemas.openxmlformats.org/officeDocument/2006/relationships/hyperlink" Target="https://ru.investing.com/equities/polymetal?cid=44465" TargetMode="External"/><Relationship Id="rId38" Type="http://schemas.openxmlformats.org/officeDocument/2006/relationships/hyperlink" Target="https://ru.investing.com/equities/polymetal?cid=44465" TargetMode="External"/><Relationship Id="rId20" Type="http://schemas.openxmlformats.org/officeDocument/2006/relationships/hyperlink" Target="https://ru.investing.com/equities/at-t" TargetMode="External"/><Relationship Id="rId22" Type="http://schemas.openxmlformats.org/officeDocument/2006/relationships/hyperlink" Target="https://ru.investing.com/equities/abbvie-inc" TargetMode="External"/><Relationship Id="rId21" Type="http://schemas.openxmlformats.org/officeDocument/2006/relationships/hyperlink" Target="https://ru.investing.com/equities/philip-morris-intl" TargetMode="External"/><Relationship Id="rId24" Type="http://schemas.openxmlformats.org/officeDocument/2006/relationships/hyperlink" Target="https://ru.investing.com/equities/ibm" TargetMode="External"/><Relationship Id="rId23" Type="http://schemas.openxmlformats.org/officeDocument/2006/relationships/hyperlink" Target="https://ru.investing.com/equities/coca-cola-co" TargetMode="External"/><Relationship Id="rId26" Type="http://schemas.openxmlformats.org/officeDocument/2006/relationships/hyperlink" Target="https://ru.investing.com/equities/huntgtn-bkshr" TargetMode="External"/><Relationship Id="rId25" Type="http://schemas.openxmlformats.org/officeDocument/2006/relationships/hyperlink" Target="https://ru.investing.com/equities/huntgtn-bkshr" TargetMode="External"/><Relationship Id="rId28" Type="http://schemas.openxmlformats.org/officeDocument/2006/relationships/hyperlink" Target="https://ru.investing.com/equities/edison-intl" TargetMode="External"/><Relationship Id="rId27" Type="http://schemas.openxmlformats.org/officeDocument/2006/relationships/hyperlink" Target="https://ru.investing.com/equities/huntgtn-bkshr" TargetMode="External"/><Relationship Id="rId29" Type="http://schemas.openxmlformats.org/officeDocument/2006/relationships/hyperlink" Target="https://ru.investing.com/equities/polymetal?cid=44465" TargetMode="External"/><Relationship Id="rId51" Type="http://schemas.openxmlformats.org/officeDocument/2006/relationships/hyperlink" Target="https://ru.investing.com/equities/abbvie-inc" TargetMode="External"/><Relationship Id="rId50" Type="http://schemas.openxmlformats.org/officeDocument/2006/relationships/hyperlink" Target="https://ru.investing.com/equities/polymetal?cid=44465" TargetMode="External"/><Relationship Id="rId53" Type="http://schemas.openxmlformats.org/officeDocument/2006/relationships/hyperlink" Target="https://ru.investing.com/equities/philip-morris-intl" TargetMode="External"/><Relationship Id="rId52" Type="http://schemas.openxmlformats.org/officeDocument/2006/relationships/hyperlink" Target="https://ru.investing.com/equities/edison-intl" TargetMode="External"/><Relationship Id="rId11" Type="http://schemas.openxmlformats.org/officeDocument/2006/relationships/hyperlink" Target="https://ru.investing.com/equities/ibm" TargetMode="External"/><Relationship Id="rId55" Type="http://schemas.openxmlformats.org/officeDocument/2006/relationships/hyperlink" Target="https://ru.investing.com/equities/at-t" TargetMode="External"/><Relationship Id="rId10" Type="http://schemas.openxmlformats.org/officeDocument/2006/relationships/hyperlink" Target="https://ru.investing.com/equities/coca-cola-co" TargetMode="External"/><Relationship Id="rId54" Type="http://schemas.openxmlformats.org/officeDocument/2006/relationships/hyperlink" Target="https://ru.investing.com/equities/coca-cola-co" TargetMode="External"/><Relationship Id="rId13" Type="http://schemas.openxmlformats.org/officeDocument/2006/relationships/hyperlink" Target="https://ru.investing.com/equities/philip-morris-intl" TargetMode="External"/><Relationship Id="rId57" Type="http://schemas.openxmlformats.org/officeDocument/2006/relationships/hyperlink" Target="https://ru.investing.com/equities/huntgtn-bkshr" TargetMode="External"/><Relationship Id="rId12" Type="http://schemas.openxmlformats.org/officeDocument/2006/relationships/hyperlink" Target="https://ru.investing.com/equities/ibm" TargetMode="External"/><Relationship Id="rId56" Type="http://schemas.openxmlformats.org/officeDocument/2006/relationships/hyperlink" Target="https://ru.investing.com/equities/ibm" TargetMode="External"/><Relationship Id="rId15" Type="http://schemas.openxmlformats.org/officeDocument/2006/relationships/hyperlink" Target="https://ru.investing.com/equities/philip-morris-intl" TargetMode="External"/><Relationship Id="rId14" Type="http://schemas.openxmlformats.org/officeDocument/2006/relationships/hyperlink" Target="https://ru.investing.com/equities/at-t" TargetMode="External"/><Relationship Id="rId58" Type="http://schemas.openxmlformats.org/officeDocument/2006/relationships/drawing" Target="../drawings/drawing1.xml"/><Relationship Id="rId17" Type="http://schemas.openxmlformats.org/officeDocument/2006/relationships/hyperlink" Target="https://ru.investing.com/equities/at-t" TargetMode="External"/><Relationship Id="rId16" Type="http://schemas.openxmlformats.org/officeDocument/2006/relationships/hyperlink" Target="https://ru.investing.com/equities/abbvie-inc" TargetMode="External"/><Relationship Id="rId19" Type="http://schemas.openxmlformats.org/officeDocument/2006/relationships/hyperlink" Target="https://ru.investing.com/equities/exxon-mobil" TargetMode="External"/><Relationship Id="rId18" Type="http://schemas.openxmlformats.org/officeDocument/2006/relationships/hyperlink" Target="https://ru.investing.com/equities/coca-cola-co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ru.investing.com/equities/polymetal?cid=44465" TargetMode="External"/><Relationship Id="rId2" Type="http://schemas.openxmlformats.org/officeDocument/2006/relationships/hyperlink" Target="https://ru.investing.com/equities/polymetal?cid=44465" TargetMode="External"/><Relationship Id="rId3" Type="http://schemas.openxmlformats.org/officeDocument/2006/relationships/hyperlink" Target="https://ru.investing.com/equities/polymetal?cid=44465" TargetMode="External"/><Relationship Id="rId4" Type="http://schemas.openxmlformats.org/officeDocument/2006/relationships/hyperlink" Target="https://ru.investing.com/equities/polymetal?cid=44465" TargetMode="External"/><Relationship Id="rId9" Type="http://schemas.openxmlformats.org/officeDocument/2006/relationships/hyperlink" Target="https://ru.investing.com/equities/polymetal?cid=44465" TargetMode="External"/><Relationship Id="rId5" Type="http://schemas.openxmlformats.org/officeDocument/2006/relationships/hyperlink" Target="https://ru.investing.com/equities/polymetal?cid=44465" TargetMode="External"/><Relationship Id="rId6" Type="http://schemas.openxmlformats.org/officeDocument/2006/relationships/hyperlink" Target="https://ru.investing.com/equities/polymetal?cid=44465" TargetMode="External"/><Relationship Id="rId7" Type="http://schemas.openxmlformats.org/officeDocument/2006/relationships/hyperlink" Target="https://ru.investing.com/equities/polymetal?cid=44465" TargetMode="External"/><Relationship Id="rId8" Type="http://schemas.openxmlformats.org/officeDocument/2006/relationships/hyperlink" Target="https://ru.investing.com/equities/polymetal?cid=44465" TargetMode="External"/><Relationship Id="rId10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ru.investing.com/equities/huntgtn-bkshr" TargetMode="External"/><Relationship Id="rId42" Type="http://schemas.openxmlformats.org/officeDocument/2006/relationships/hyperlink" Target="https://ru.investing.com/equities/huntgtn-bkshr" TargetMode="External"/><Relationship Id="rId41" Type="http://schemas.openxmlformats.org/officeDocument/2006/relationships/hyperlink" Target="https://ru.investing.com/equities/huntgtn-bkshr" TargetMode="External"/><Relationship Id="rId44" Type="http://schemas.openxmlformats.org/officeDocument/2006/relationships/hyperlink" Target="https://ru.investing.com/equities/huntgtn-bkshr" TargetMode="External"/><Relationship Id="rId43" Type="http://schemas.openxmlformats.org/officeDocument/2006/relationships/hyperlink" Target="https://ru.investing.com/equities/huntgtn-bkshr" TargetMode="External"/><Relationship Id="rId46" Type="http://schemas.openxmlformats.org/officeDocument/2006/relationships/hyperlink" Target="https://ru.investing.com/equities/huntgtn-bkshr" TargetMode="External"/><Relationship Id="rId45" Type="http://schemas.openxmlformats.org/officeDocument/2006/relationships/hyperlink" Target="https://ru.investing.com/equities/huntgtn-bkshr" TargetMode="External"/><Relationship Id="rId1" Type="http://schemas.openxmlformats.org/officeDocument/2006/relationships/hyperlink" Target="https://ru.investing.com/equities/at-t" TargetMode="External"/><Relationship Id="rId2" Type="http://schemas.openxmlformats.org/officeDocument/2006/relationships/hyperlink" Target="https://ru.investing.com/equities/at-t" TargetMode="External"/><Relationship Id="rId3" Type="http://schemas.openxmlformats.org/officeDocument/2006/relationships/hyperlink" Target="https://ru.investing.com/equities/at-t" TargetMode="External"/><Relationship Id="rId4" Type="http://schemas.openxmlformats.org/officeDocument/2006/relationships/hyperlink" Target="https://ru.investing.com/equities/at-t" TargetMode="External"/><Relationship Id="rId9" Type="http://schemas.openxmlformats.org/officeDocument/2006/relationships/hyperlink" Target="https://ru.investing.com/equities/at-t" TargetMode="External"/><Relationship Id="rId48" Type="http://schemas.openxmlformats.org/officeDocument/2006/relationships/hyperlink" Target="https://ru.investing.com/equities/edison-intl" TargetMode="External"/><Relationship Id="rId47" Type="http://schemas.openxmlformats.org/officeDocument/2006/relationships/hyperlink" Target="https://ru.investing.com/equities/huntgtn-bkshr" TargetMode="External"/><Relationship Id="rId49" Type="http://schemas.openxmlformats.org/officeDocument/2006/relationships/hyperlink" Target="https://ru.investing.com/equities/edison-intl" TargetMode="External"/><Relationship Id="rId5" Type="http://schemas.openxmlformats.org/officeDocument/2006/relationships/hyperlink" Target="https://ru.investing.com/equities/at-t" TargetMode="External"/><Relationship Id="rId6" Type="http://schemas.openxmlformats.org/officeDocument/2006/relationships/hyperlink" Target="https://ru.investing.com/equities/at-t" TargetMode="External"/><Relationship Id="rId7" Type="http://schemas.openxmlformats.org/officeDocument/2006/relationships/hyperlink" Target="https://ru.investing.com/equities/at-t" TargetMode="External"/><Relationship Id="rId8" Type="http://schemas.openxmlformats.org/officeDocument/2006/relationships/hyperlink" Target="https://ru.investing.com/equities/at-t" TargetMode="External"/><Relationship Id="rId31" Type="http://schemas.openxmlformats.org/officeDocument/2006/relationships/hyperlink" Target="https://ru.investing.com/equities/ibm" TargetMode="External"/><Relationship Id="rId30" Type="http://schemas.openxmlformats.org/officeDocument/2006/relationships/hyperlink" Target="https://ru.investing.com/equities/ibm" TargetMode="External"/><Relationship Id="rId33" Type="http://schemas.openxmlformats.org/officeDocument/2006/relationships/hyperlink" Target="https://ru.investing.com/equities/philip-morris-intl" TargetMode="External"/><Relationship Id="rId32" Type="http://schemas.openxmlformats.org/officeDocument/2006/relationships/hyperlink" Target="https://ru.investing.com/equities/ibm" TargetMode="External"/><Relationship Id="rId35" Type="http://schemas.openxmlformats.org/officeDocument/2006/relationships/hyperlink" Target="https://ru.investing.com/equities/philip-morris-intl" TargetMode="External"/><Relationship Id="rId34" Type="http://schemas.openxmlformats.org/officeDocument/2006/relationships/hyperlink" Target="https://ru.investing.com/equities/philip-morris-intl" TargetMode="External"/><Relationship Id="rId37" Type="http://schemas.openxmlformats.org/officeDocument/2006/relationships/hyperlink" Target="https://ru.investing.com/equities/philip-morris-intl" TargetMode="External"/><Relationship Id="rId36" Type="http://schemas.openxmlformats.org/officeDocument/2006/relationships/hyperlink" Target="https://ru.investing.com/equities/philip-morris-intl" TargetMode="External"/><Relationship Id="rId39" Type="http://schemas.openxmlformats.org/officeDocument/2006/relationships/hyperlink" Target="https://ru.investing.com/equities/huntgtn-bkshr" TargetMode="External"/><Relationship Id="rId38" Type="http://schemas.openxmlformats.org/officeDocument/2006/relationships/hyperlink" Target="https://ru.investing.com/equities/huntgtn-bkshr" TargetMode="External"/><Relationship Id="rId20" Type="http://schemas.openxmlformats.org/officeDocument/2006/relationships/hyperlink" Target="https://ru.investing.com/equities/abbvie-inc" TargetMode="External"/><Relationship Id="rId22" Type="http://schemas.openxmlformats.org/officeDocument/2006/relationships/hyperlink" Target="https://ru.investing.com/equities/coca-cola-co" TargetMode="External"/><Relationship Id="rId21" Type="http://schemas.openxmlformats.org/officeDocument/2006/relationships/hyperlink" Target="https://ru.investing.com/equities/abbvie-inc" TargetMode="External"/><Relationship Id="rId24" Type="http://schemas.openxmlformats.org/officeDocument/2006/relationships/hyperlink" Target="https://ru.investing.com/equities/coca-cola-co" TargetMode="External"/><Relationship Id="rId23" Type="http://schemas.openxmlformats.org/officeDocument/2006/relationships/hyperlink" Target="https://ru.investing.com/equities/coca-cola-co" TargetMode="External"/><Relationship Id="rId26" Type="http://schemas.openxmlformats.org/officeDocument/2006/relationships/hyperlink" Target="https://ru.investing.com/equities/coca-cola-co" TargetMode="External"/><Relationship Id="rId25" Type="http://schemas.openxmlformats.org/officeDocument/2006/relationships/hyperlink" Target="https://ru.investing.com/equities/coca-cola-co" TargetMode="External"/><Relationship Id="rId28" Type="http://schemas.openxmlformats.org/officeDocument/2006/relationships/hyperlink" Target="https://ru.investing.com/equities/ibm" TargetMode="External"/><Relationship Id="rId27" Type="http://schemas.openxmlformats.org/officeDocument/2006/relationships/hyperlink" Target="https://ru.investing.com/equities/coca-cola-co" TargetMode="External"/><Relationship Id="rId29" Type="http://schemas.openxmlformats.org/officeDocument/2006/relationships/hyperlink" Target="https://ru.investing.com/equities/ibm" TargetMode="External"/><Relationship Id="rId51" Type="http://schemas.openxmlformats.org/officeDocument/2006/relationships/hyperlink" Target="https://ru.investing.com/equities/edison-intl" TargetMode="External"/><Relationship Id="rId50" Type="http://schemas.openxmlformats.org/officeDocument/2006/relationships/hyperlink" Target="https://ru.investing.com/equities/edison-intl" TargetMode="External"/><Relationship Id="rId53" Type="http://schemas.openxmlformats.org/officeDocument/2006/relationships/hyperlink" Target="https://ru.investing.com/equities/edison-intl" TargetMode="External"/><Relationship Id="rId52" Type="http://schemas.openxmlformats.org/officeDocument/2006/relationships/hyperlink" Target="https://ru.investing.com/equities/edison-intl" TargetMode="External"/><Relationship Id="rId11" Type="http://schemas.openxmlformats.org/officeDocument/2006/relationships/hyperlink" Target="https://ru.investing.com/equities/at-t" TargetMode="External"/><Relationship Id="rId55" Type="http://schemas.openxmlformats.org/officeDocument/2006/relationships/hyperlink" Target="https://ru.investing.com/equities/edison-intl" TargetMode="External"/><Relationship Id="rId10" Type="http://schemas.openxmlformats.org/officeDocument/2006/relationships/hyperlink" Target="https://ru.investing.com/equities/at-t" TargetMode="External"/><Relationship Id="rId54" Type="http://schemas.openxmlformats.org/officeDocument/2006/relationships/hyperlink" Target="https://ru.investing.com/equities/edison-intl" TargetMode="External"/><Relationship Id="rId13" Type="http://schemas.openxmlformats.org/officeDocument/2006/relationships/hyperlink" Target="https://ru.investing.com/equities/exxon-mobil" TargetMode="External"/><Relationship Id="rId12" Type="http://schemas.openxmlformats.org/officeDocument/2006/relationships/hyperlink" Target="https://ru.investing.com/equities/exxon-mobil" TargetMode="External"/><Relationship Id="rId56" Type="http://schemas.openxmlformats.org/officeDocument/2006/relationships/drawing" Target="../drawings/drawing4.xml"/><Relationship Id="rId15" Type="http://schemas.openxmlformats.org/officeDocument/2006/relationships/hyperlink" Target="https://ru.investing.com/equities/exxon-mobil" TargetMode="External"/><Relationship Id="rId14" Type="http://schemas.openxmlformats.org/officeDocument/2006/relationships/hyperlink" Target="https://ru.investing.com/equities/exxon-mobil" TargetMode="External"/><Relationship Id="rId17" Type="http://schemas.openxmlformats.org/officeDocument/2006/relationships/hyperlink" Target="https://ru.investing.com/equities/abbvie-inc" TargetMode="External"/><Relationship Id="rId16" Type="http://schemas.openxmlformats.org/officeDocument/2006/relationships/hyperlink" Target="https://ru.investing.com/equities/exxon-mobil" TargetMode="External"/><Relationship Id="rId19" Type="http://schemas.openxmlformats.org/officeDocument/2006/relationships/hyperlink" Target="https://ru.investing.com/equities/abbvie-inc" TargetMode="External"/><Relationship Id="rId18" Type="http://schemas.openxmlformats.org/officeDocument/2006/relationships/hyperlink" Target="https://ru.investing.com/equities/abbvie-inc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ivotTable" Target="../pivotTables/pivotTable3.xml"/><Relationship Id="rId4" Type="http://schemas.openxmlformats.org/officeDocument/2006/relationships/hyperlink" Target="https://ru.investing.com/equities/abbvie-inc" TargetMode="External"/><Relationship Id="rId9" Type="http://schemas.openxmlformats.org/officeDocument/2006/relationships/hyperlink" Target="https://ru.investing.com/equities/huntgtn-bkshr" TargetMode="External"/><Relationship Id="rId5" Type="http://schemas.openxmlformats.org/officeDocument/2006/relationships/hyperlink" Target="https://ru.investing.com/equities/exxon-mobil" TargetMode="External"/><Relationship Id="rId6" Type="http://schemas.openxmlformats.org/officeDocument/2006/relationships/hyperlink" Target="https://ru.investing.com/equities/philip-morris-intl" TargetMode="External"/><Relationship Id="rId7" Type="http://schemas.openxmlformats.org/officeDocument/2006/relationships/hyperlink" Target="https://ru.investing.com/equities/coca-cola-co" TargetMode="External"/><Relationship Id="rId8" Type="http://schemas.openxmlformats.org/officeDocument/2006/relationships/hyperlink" Target="https://ru.investing.com/equities/phosagro" TargetMode="External"/><Relationship Id="rId20" Type="http://schemas.openxmlformats.org/officeDocument/2006/relationships/hyperlink" Target="https://ru.investing.com/equities/nmtp_rts" TargetMode="External"/><Relationship Id="rId21" Type="http://schemas.openxmlformats.org/officeDocument/2006/relationships/drawing" Target="../drawings/drawing5.xml"/><Relationship Id="rId11" Type="http://schemas.openxmlformats.org/officeDocument/2006/relationships/hyperlink" Target="https://ru.investing.com/equities/edison-intl" TargetMode="External"/><Relationship Id="rId10" Type="http://schemas.openxmlformats.org/officeDocument/2006/relationships/hyperlink" Target="https://ru.investing.com/equities/gmk-noril-nickel_rts" TargetMode="External"/><Relationship Id="rId13" Type="http://schemas.openxmlformats.org/officeDocument/2006/relationships/hyperlink" Target="https://ru.investing.com/equities/ibm" TargetMode="External"/><Relationship Id="rId12" Type="http://schemas.openxmlformats.org/officeDocument/2006/relationships/hyperlink" Target="https://ru.investing.com/equities/at-t" TargetMode="External"/><Relationship Id="rId15" Type="http://schemas.openxmlformats.org/officeDocument/2006/relationships/hyperlink" Target="https://ru.investing.com/equities/tatneft-p_rts" TargetMode="External"/><Relationship Id="rId14" Type="http://schemas.openxmlformats.org/officeDocument/2006/relationships/hyperlink" Target="https://ru.investing.com/equities/lsr-group_rts" TargetMode="External"/><Relationship Id="rId17" Type="http://schemas.openxmlformats.org/officeDocument/2006/relationships/hyperlink" Target="https://ru.investing.com/equities/mts_rts" TargetMode="External"/><Relationship Id="rId16" Type="http://schemas.openxmlformats.org/officeDocument/2006/relationships/hyperlink" Target="https://ru.investing.com/equities/polymetal?cid=44465" TargetMode="External"/><Relationship Id="rId19" Type="http://schemas.openxmlformats.org/officeDocument/2006/relationships/hyperlink" Target="https://ru.investing.com/equities/sberbank-p_rts" TargetMode="External"/><Relationship Id="rId18" Type="http://schemas.openxmlformats.org/officeDocument/2006/relationships/hyperlink" Target="https://ru.investing.com/equities/mrsk-cip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4.43" defaultRowHeight="15.75"/>
  <cols>
    <col customWidth="1" min="1" max="1" width="3.43"/>
    <col customWidth="1" min="2" max="2" width="10.86"/>
    <col customWidth="1" min="3" max="3" width="8.29"/>
    <col customWidth="1" min="4" max="4" width="5.29"/>
    <col customWidth="1" min="5" max="5" width="14.43"/>
    <col customWidth="1" min="6" max="6" width="8.0"/>
    <col customWidth="1" min="7" max="7" width="7.86"/>
    <col customWidth="1" min="8" max="8" width="8.86"/>
    <col customWidth="1" min="9" max="9" width="12.0"/>
    <col customWidth="1" min="10" max="10" width="8.0"/>
    <col customWidth="1" min="11" max="11" width="7.71"/>
    <col customWidth="1" min="12" max="12" width="7.0"/>
    <col customWidth="1" min="13" max="13" width="8.57"/>
    <col customWidth="1" min="14" max="14" width="10.29"/>
    <col customWidth="1" min="15" max="15" width="8.29"/>
    <col customWidth="1" min="16" max="16" width="9.14"/>
    <col customWidth="1" min="17" max="17" width="10.0"/>
    <col customWidth="1" min="18" max="18" width="8.29"/>
    <col customWidth="1" min="19" max="19" width="8.71"/>
    <col customWidth="1" min="20" max="20" width="10.14"/>
    <col customWidth="1" min="21" max="21" width="8.29"/>
    <col customWidth="1" min="22" max="22" width="8.86"/>
    <col customWidth="1" min="23" max="23" width="10.71"/>
    <col customWidth="1" min="24" max="24" width="8.71"/>
    <col customWidth="1" min="25" max="25" width="8.0"/>
    <col customWidth="1" min="26" max="26" width="5.86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>
      <c r="A2" s="1"/>
      <c r="B2" s="3">
        <f>W96</f>
        <v>44234</v>
      </c>
      <c r="C2" s="4" t="s">
        <v>0</v>
      </c>
      <c r="D2" s="5"/>
      <c r="E2" s="5"/>
      <c r="F2" s="6">
        <f> 110000 + 275000 + 450000 + (51900 - 51900)</f>
        <v>835000</v>
      </c>
      <c r="G2" s="7"/>
      <c r="H2" s="8">
        <f t="shared" ref="H2:J2" si="1">SUM(H6:H93)</f>
        <v>864104.0594</v>
      </c>
      <c r="I2" s="9">
        <f t="shared" si="1"/>
        <v>2936.369545</v>
      </c>
      <c r="J2" s="9">
        <f t="shared" si="1"/>
        <v>48252.82154</v>
      </c>
      <c r="K2" s="8">
        <f>sum(K4:K5)</f>
        <v>63808.69618</v>
      </c>
      <c r="L2" s="9">
        <f>SUM(L6:L93)</f>
        <v>4610.62</v>
      </c>
      <c r="M2" s="10">
        <f>J2-L2-I2</f>
        <v>40705.83199</v>
      </c>
      <c r="N2" s="11">
        <f>M2/H2</f>
        <v>0.04710755788</v>
      </c>
      <c r="O2" s="12">
        <f>M2/H2/(TODAY()-B2)*365</f>
        <v>0.04536743701</v>
      </c>
      <c r="P2" s="13">
        <f>SUM(Q6:Q93)</f>
        <v>938427.4496</v>
      </c>
      <c r="Q2" s="14">
        <f>P2 + K2 </f>
        <v>1002236.146</v>
      </c>
      <c r="R2" s="15">
        <f>(Q2-F2)/F2</f>
        <v>0.2002828093</v>
      </c>
      <c r="S2" s="16">
        <f>R2/(TODAY()-B2)*365</f>
        <v>0.1928844998</v>
      </c>
      <c r="T2" s="17">
        <f>IFERROR(__xludf.DUMMYFUNCTION(" GoogleFinance(""Currency:USDRUB"")"),78.238)</f>
        <v>78.238</v>
      </c>
      <c r="U2" s="2"/>
      <c r="V2" s="2"/>
      <c r="W2" s="18" t="s">
        <v>1</v>
      </c>
      <c r="X2" s="18" t="s">
        <v>2</v>
      </c>
      <c r="AA2" s="19">
        <f> 12*100000/O2</f>
        <v>26450689.73</v>
      </c>
      <c r="AB2" s="20">
        <v>2.0E7</v>
      </c>
      <c r="AC2" s="21">
        <v>45658.0</v>
      </c>
      <c r="AD2" s="21">
        <v>47484.0</v>
      </c>
    </row>
    <row r="3">
      <c r="A3" s="1"/>
      <c r="B3" s="22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4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17</v>
      </c>
      <c r="Q3" s="23" t="s">
        <v>18</v>
      </c>
      <c r="R3" s="23" t="s">
        <v>19</v>
      </c>
      <c r="S3" s="23" t="s">
        <v>20</v>
      </c>
      <c r="T3" s="23" t="s">
        <v>18</v>
      </c>
      <c r="U3" s="23" t="s">
        <v>19</v>
      </c>
      <c r="V3" s="25" t="s">
        <v>20</v>
      </c>
      <c r="W3" s="18"/>
      <c r="X3" s="18"/>
      <c r="Y3" s="26"/>
      <c r="Z3" s="18"/>
      <c r="AA3" s="27">
        <f>Q2/AA2</f>
        <v>0.03789073768</v>
      </c>
      <c r="AB3" s="27">
        <f>Q2/AB2</f>
        <v>0.05011180729</v>
      </c>
    </row>
    <row r="4">
      <c r="A4" s="28"/>
      <c r="B4" s="29"/>
      <c r="C4" s="30" t="s">
        <v>21</v>
      </c>
      <c r="D4" s="31" t="s">
        <v>21</v>
      </c>
      <c r="E4" s="31" t="s">
        <v>12</v>
      </c>
      <c r="F4" s="31"/>
      <c r="G4" s="31"/>
      <c r="H4" s="32"/>
      <c r="I4" s="33"/>
      <c r="J4" s="34"/>
      <c r="K4" s="35">
        <f> 1652.36 + 27723.01</f>
        <v>29375.37</v>
      </c>
      <c r="L4" s="36"/>
      <c r="M4" s="37"/>
      <c r="N4" s="38"/>
      <c r="O4" s="38"/>
      <c r="P4" s="39"/>
      <c r="Q4" s="40">
        <f t="shared" ref="Q4:Q5" si="2">K4</f>
        <v>29375.37</v>
      </c>
      <c r="R4" s="41"/>
      <c r="S4" s="41"/>
      <c r="T4" s="32"/>
      <c r="U4" s="38"/>
      <c r="V4" s="38"/>
      <c r="X4" s="27"/>
    </row>
    <row r="5">
      <c r="A5" s="28"/>
      <c r="B5" s="29"/>
      <c r="C5" s="30" t="s">
        <v>22</v>
      </c>
      <c r="D5" s="31" t="s">
        <v>22</v>
      </c>
      <c r="E5" s="31" t="s">
        <v>12</v>
      </c>
      <c r="F5" s="31"/>
      <c r="G5" s="31"/>
      <c r="H5" s="32"/>
      <c r="I5" s="33"/>
      <c r="J5" s="34"/>
      <c r="K5" s="35">
        <f> (437.41+2.7) * T2</f>
        <v>34433.32618</v>
      </c>
      <c r="L5" s="36"/>
      <c r="M5" s="37"/>
      <c r="N5" s="38"/>
      <c r="O5" s="38"/>
      <c r="P5" s="39"/>
      <c r="Q5" s="40">
        <f t="shared" si="2"/>
        <v>34433.32618</v>
      </c>
      <c r="R5" s="41"/>
      <c r="S5" s="41"/>
      <c r="T5" s="32"/>
      <c r="U5" s="38"/>
      <c r="V5" s="38"/>
      <c r="X5" s="27"/>
    </row>
    <row r="6">
      <c r="A6" s="28"/>
      <c r="B6" s="42">
        <v>43739.0</v>
      </c>
      <c r="C6" s="43" t="str">
        <f>HYPERLINK("https://ru.investing.com/equities/gmk-noril-nickel_rts","GMKN")</f>
        <v>GMKN</v>
      </c>
      <c r="D6" s="44" t="s">
        <v>21</v>
      </c>
      <c r="E6" s="44" t="s">
        <v>23</v>
      </c>
      <c r="F6" s="44">
        <v>16640.0</v>
      </c>
      <c r="G6" s="44">
        <v>1.0</v>
      </c>
      <c r="H6" s="45">
        <f t="shared" ref="H6:H93" si="3">F6*G6</f>
        <v>16640</v>
      </c>
      <c r="I6" s="46">
        <f>H6*0.003 + 61.62</f>
        <v>111.54</v>
      </c>
      <c r="J6" s="47">
        <f> 883.93 + 604.09 + 557.2 + 623.35 + 1021.22</f>
        <v>3689.79</v>
      </c>
      <c r="K6" s="48"/>
      <c r="L6" s="49">
        <f> 115 + 79 + 72 + 81 + 133</f>
        <v>480</v>
      </c>
      <c r="M6" s="50">
        <f t="shared" ref="M6:M93" si="4">J6-L6-I6</f>
        <v>3098.25</v>
      </c>
      <c r="N6" s="51">
        <f t="shared" ref="N6:N93" si="5">M6/H6</f>
        <v>0.1861929087</v>
      </c>
      <c r="O6" s="51">
        <f t="shared" ref="O6:O93" si="6">M6/H6/(TODAY()-B6)*365</f>
        <v>0.07775790808</v>
      </c>
      <c r="P6" s="52" t="str">
        <f>IFERROR(__xludf.DUMMYFUNCTION(" SUBSTITUTE(ImportHTML(CONCATENATE(""http://iss.moex.com/iss/engines/stock/markets/shares/boards/TQBR/securities.html?securities="", C6,""&amp;marketdata.columns=LAST&amp;iss.meta=off&amp;iss.only=marketdata""),""table"",1), ""."", "","")"),"20454")</f>
        <v>20454</v>
      </c>
      <c r="Q6" s="52">
        <f t="shared" ref="Q6:Q93" si="7">P6*G6</f>
        <v>20454</v>
      </c>
      <c r="R6" s="41">
        <f t="shared" ref="R6:R93" si="8">(Q6+M6-H6)/(H6+I6)</f>
        <v>0.4126337041</v>
      </c>
      <c r="S6" s="53">
        <f t="shared" ref="S6:S93" si="9">R6/(TODAY()-B6)*365</f>
        <v>0.1723241442</v>
      </c>
      <c r="T6" s="54">
        <f>SUM(Q6:Q7)</f>
        <v>43826</v>
      </c>
      <c r="U6" s="55">
        <f>(SUM(Q6:Q7) + SUM(M6:M7) - SUM(H6:H7))/SUM(H6:H7)</f>
        <v>0.8401280862</v>
      </c>
      <c r="V6" s="56">
        <f>U6/(TODAY()-B6)*365</f>
        <v>0.3508544067</v>
      </c>
      <c r="W6" s="57">
        <f t="shared" ref="W6:W93" si="10">today() - B6</f>
        <v>874</v>
      </c>
      <c r="X6" s="27">
        <f t="shared" ref="X6:X93" si="11">H6/SUM(H$6:H$93)</f>
        <v>0.01925693997</v>
      </c>
    </row>
    <row r="7">
      <c r="A7" s="28"/>
      <c r="B7" s="29">
        <v>43739.0</v>
      </c>
      <c r="C7" s="58" t="str">
        <f>HYPERLINK("https://ru.investing.com/equities/phosagro","PHOR")</f>
        <v>PHOR</v>
      </c>
      <c r="D7" s="31" t="s">
        <v>21</v>
      </c>
      <c r="E7" s="31" t="s">
        <v>24</v>
      </c>
      <c r="F7" s="31">
        <v>2523.0</v>
      </c>
      <c r="G7" s="31">
        <v>4.0</v>
      </c>
      <c r="H7" s="32">
        <f t="shared" si="3"/>
        <v>10092</v>
      </c>
      <c r="I7" s="33">
        <f>H7*0.003 + 37.38</f>
        <v>67.656</v>
      </c>
      <c r="J7" s="34">
        <f> 216 + 192 + 72 + 312 + 132 + 492 + 252 + 420 + 624</f>
        <v>2712</v>
      </c>
      <c r="K7" s="59"/>
      <c r="L7" s="36">
        <f> 28 + 25 + 9 + 41 + 17 + 25.6 + 64 + 32.8 + 54.8 + 81.09</f>
        <v>378.29</v>
      </c>
      <c r="M7" s="50">
        <f t="shared" si="4"/>
        <v>2266.054</v>
      </c>
      <c r="N7" s="38">
        <f t="shared" si="5"/>
        <v>0.2245396354</v>
      </c>
      <c r="O7" s="38">
        <f t="shared" si="6"/>
        <v>0.09377227335</v>
      </c>
      <c r="P7" s="52" t="str">
        <f>IFERROR(__xludf.DUMMYFUNCTION(" SUBSTITUTE(ImportHTML(CONCATENATE(""http://iss.moex.com/iss/engines/stock/markets/shares/boards/TQBR/securities.html?securities="", C7,""&amp;marketdata.columns=LAST&amp;iss.meta=off&amp;iss.only=marketdata""),""table"",1), ""."", "","")"),"5843")</f>
        <v>5843</v>
      </c>
      <c r="Q7" s="39">
        <f t="shared" si="7"/>
        <v>23372</v>
      </c>
      <c r="R7" s="41">
        <f t="shared" si="8"/>
        <v>1.530175234</v>
      </c>
      <c r="S7" s="60">
        <f t="shared" si="9"/>
        <v>0.6390319914</v>
      </c>
      <c r="T7" s="61"/>
      <c r="U7" s="62"/>
      <c r="V7" s="61"/>
      <c r="W7" s="57">
        <f t="shared" si="10"/>
        <v>874</v>
      </c>
      <c r="X7" s="27">
        <f t="shared" si="11"/>
        <v>0.01167914893</v>
      </c>
    </row>
    <row r="8">
      <c r="A8" s="63"/>
      <c r="B8" s="64">
        <v>43753.0</v>
      </c>
      <c r="C8" s="65" t="str">
        <f>HYPERLINK("https://ru.investing.com/equities/sberbank-p_rts","SBERP")</f>
        <v>SBERP</v>
      </c>
      <c r="D8" s="66" t="s">
        <v>21</v>
      </c>
      <c r="E8" s="66" t="s">
        <v>25</v>
      </c>
      <c r="F8" s="66">
        <v>200.69</v>
      </c>
      <c r="G8" s="66">
        <v>70.0</v>
      </c>
      <c r="H8" s="32">
        <f t="shared" si="3"/>
        <v>14048.3</v>
      </c>
      <c r="I8" s="67">
        <f>42.14 + 23.71</f>
        <v>65.85</v>
      </c>
      <c r="J8" s="68">
        <f> 1309 + 1309</f>
        <v>2618</v>
      </c>
      <c r="K8" s="59"/>
      <c r="L8" s="69">
        <f> 169 + 170.19</f>
        <v>339.19</v>
      </c>
      <c r="M8" s="50">
        <f t="shared" si="4"/>
        <v>2212.96</v>
      </c>
      <c r="N8" s="38">
        <f t="shared" si="5"/>
        <v>0.1575251098</v>
      </c>
      <c r="O8" s="38">
        <f t="shared" si="6"/>
        <v>0.0668565873</v>
      </c>
      <c r="P8" s="52" t="str">
        <f>IFERROR(__xludf.DUMMYFUNCTION(" SUBSTITUTE(ImportHTML(CONCATENATE(""http://iss.moex.com/iss/engines/stock/markets/shares/boards/TQBR/securities.html?securities="", C8,""&amp;marketdata.columns=LAST&amp;iss.meta=off&amp;iss.only=marketdata""),""table"",1), ""."", "","")"),"220,64")</f>
        <v>220,64</v>
      </c>
      <c r="Q8" s="39">
        <f t="shared" si="7"/>
        <v>15444.8</v>
      </c>
      <c r="R8" s="41">
        <f t="shared" si="8"/>
        <v>0.2557334306</v>
      </c>
      <c r="S8" s="41">
        <f t="shared" si="9"/>
        <v>0.1085380258</v>
      </c>
      <c r="T8" s="54">
        <f>Q8+Q9+Q10</f>
        <v>42288.6</v>
      </c>
      <c r="U8" s="70">
        <f>(SUM(Q8:Q10) + SUM(M8:M10) - SUM(H8:H10))/SUM(H8:H10)</f>
        <v>0.1223161932</v>
      </c>
      <c r="V8" s="71">
        <f>U8/(TODAY()-B8)*365</f>
        <v>0.05191326806</v>
      </c>
      <c r="W8" s="57">
        <f t="shared" si="10"/>
        <v>860</v>
      </c>
      <c r="X8" s="27">
        <f t="shared" si="11"/>
        <v>0.01625764842</v>
      </c>
    </row>
    <row r="9">
      <c r="A9" s="63"/>
      <c r="B9" s="64">
        <v>43753.0</v>
      </c>
      <c r="C9" s="65" t="str">
        <f>HYPERLINK("https://ru.investing.com/equities/mrsk-cip","MRKP")</f>
        <v>MRKP</v>
      </c>
      <c r="D9" s="66" t="s">
        <v>21</v>
      </c>
      <c r="E9" s="66" t="s">
        <v>26</v>
      </c>
      <c r="F9" s="72">
        <v>0.2469</v>
      </c>
      <c r="G9" s="66">
        <v>50000.0</v>
      </c>
      <c r="H9" s="32">
        <f t="shared" si="3"/>
        <v>12345</v>
      </c>
      <c r="I9" s="73">
        <f>37.03 + 20.84</f>
        <v>57.87</v>
      </c>
      <c r="J9" s="68">
        <f> 816.2 + 1296.31</f>
        <v>2112.51</v>
      </c>
      <c r="K9" s="59"/>
      <c r="L9" s="74">
        <f> 106 + 168.53</f>
        <v>274.53</v>
      </c>
      <c r="M9" s="50">
        <f t="shared" si="4"/>
        <v>1780.11</v>
      </c>
      <c r="N9" s="38">
        <f t="shared" si="5"/>
        <v>0.1441968408</v>
      </c>
      <c r="O9" s="38">
        <f t="shared" si="6"/>
        <v>0.06119982198</v>
      </c>
      <c r="P9" s="52" t="str">
        <f>IFERROR(__xludf.DUMMYFUNCTION(" SUBSTITUTE(ImportHTML(CONCATENATE(""http://iss.moex.com/iss/engines/stock/markets/shares/boards/TQBR/securities.html?securities="", C9,""&amp;marketdata.columns=LAST&amp;iss.meta=off&amp;iss.only=marketdata""),""table"",1), ""."", "","")"),"0,2008")</f>
        <v>0,2008</v>
      </c>
      <c r="Q9" s="39">
        <f t="shared" si="7"/>
        <v>10040</v>
      </c>
      <c r="R9" s="41">
        <f t="shared" si="8"/>
        <v>-0.04232004367</v>
      </c>
      <c r="S9" s="41">
        <f t="shared" si="9"/>
        <v>-0.01796141388</v>
      </c>
      <c r="T9" s="75"/>
      <c r="U9" s="75"/>
      <c r="V9" s="75"/>
      <c r="W9" s="57">
        <f t="shared" si="10"/>
        <v>860</v>
      </c>
      <c r="X9" s="27">
        <f t="shared" si="11"/>
        <v>0.01428647379</v>
      </c>
    </row>
    <row r="10">
      <c r="A10" s="63"/>
      <c r="B10" s="64">
        <v>43753.0</v>
      </c>
      <c r="C10" s="65" t="str">
        <f>HYPERLINK("https://ru.investing.com/equities/lsr-group_rts","LSRG")</f>
        <v>LSRG</v>
      </c>
      <c r="D10" s="66" t="s">
        <v>21</v>
      </c>
      <c r="E10" s="66" t="s">
        <v>27</v>
      </c>
      <c r="F10" s="66">
        <v>711.4</v>
      </c>
      <c r="G10" s="66">
        <v>23.0</v>
      </c>
      <c r="H10" s="32">
        <f t="shared" si="3"/>
        <v>16362.2</v>
      </c>
      <c r="I10" s="73">
        <f>49.09 + 27.62</f>
        <v>76.71</v>
      </c>
      <c r="J10" s="68">
        <f> 690 + 460 + 897</f>
        <v>2047</v>
      </c>
      <c r="K10" s="59"/>
      <c r="L10" s="76">
        <f> 90 + 60 + 116.77</f>
        <v>266.77</v>
      </c>
      <c r="M10" s="50">
        <f t="shared" si="4"/>
        <v>1703.52</v>
      </c>
      <c r="N10" s="38">
        <f t="shared" si="5"/>
        <v>0.1041131388</v>
      </c>
      <c r="O10" s="38">
        <f t="shared" si="6"/>
        <v>0.0441875531</v>
      </c>
      <c r="P10" s="52" t="str">
        <f>IFERROR(__xludf.DUMMYFUNCTION(" SUBSTITUTE(ImportHTML(CONCATENATE(""http://iss.moex.com/iss/engines/stock/markets/shares/boards/TQBR/securities.html?securities="", C10,""&amp;marketdata.columns=LAST&amp;iss.meta=off&amp;iss.only=marketdata""),""table"",1), ""."", "","")"),"730,6")</f>
        <v>730,6</v>
      </c>
      <c r="Q10" s="39">
        <f t="shared" si="7"/>
        <v>16803.8</v>
      </c>
      <c r="R10" s="41">
        <f t="shared" si="8"/>
        <v>0.1304904036</v>
      </c>
      <c r="S10" s="41">
        <f t="shared" si="9"/>
        <v>0.055382555</v>
      </c>
      <c r="T10" s="61"/>
      <c r="U10" s="61"/>
      <c r="V10" s="61"/>
      <c r="W10" s="57">
        <f t="shared" si="10"/>
        <v>860</v>
      </c>
      <c r="X10" s="27">
        <f t="shared" si="11"/>
        <v>0.01893545091</v>
      </c>
    </row>
    <row r="11">
      <c r="A11" s="63"/>
      <c r="B11" s="64">
        <v>43769.0</v>
      </c>
      <c r="C11" s="65" t="str">
        <f>HYPERLINK("https://ru.investing.com/equities/tatneft-p_rts","TATNP")</f>
        <v>TATNP</v>
      </c>
      <c r="D11" s="66" t="s">
        <v>21</v>
      </c>
      <c r="E11" s="66" t="s">
        <v>28</v>
      </c>
      <c r="F11" s="66">
        <v>662.1</v>
      </c>
      <c r="G11" s="66">
        <v>24.0</v>
      </c>
      <c r="H11" s="32">
        <f t="shared" si="3"/>
        <v>15890.4</v>
      </c>
      <c r="I11" s="73">
        <f>47.67 + 26.82</f>
        <v>74.49</v>
      </c>
      <c r="J11" s="77">
        <f> 584.64 + 24 + 238.56 + 295.2 + 369.48</f>
        <v>1511.88</v>
      </c>
      <c r="K11" s="59"/>
      <c r="L11" s="78">
        <f> 76 + 2 + 31 + 38.35 + 51.52</f>
        <v>198.87</v>
      </c>
      <c r="M11" s="50">
        <f t="shared" si="4"/>
        <v>1238.52</v>
      </c>
      <c r="N11" s="38">
        <f t="shared" si="5"/>
        <v>0.07794139858</v>
      </c>
      <c r="O11" s="38">
        <f t="shared" si="6"/>
        <v>0.03370688446</v>
      </c>
      <c r="P11" s="52" t="str">
        <f>IFERROR(__xludf.DUMMYFUNCTION(" SUBSTITUTE(ImportHTML(CONCATENATE(""http://iss.moex.com/iss/engines/stock/markets/shares/boards/TQBR/securities.html?securities="", C11,""&amp;marketdata.columns=LAST&amp;iss.meta=off&amp;iss.only=marketdata""),""table"",1), ""."", "","")"),"407,6")</f>
        <v>407,6</v>
      </c>
      <c r="Q11" s="39">
        <f t="shared" si="7"/>
        <v>9782.4</v>
      </c>
      <c r="R11" s="41">
        <f t="shared" si="8"/>
        <v>-0.3050118103</v>
      </c>
      <c r="S11" s="41">
        <f t="shared" si="9"/>
        <v>-0.1319067663</v>
      </c>
      <c r="T11" s="32">
        <f t="shared" ref="T11:V11" si="12">Q11</f>
        <v>9782.4</v>
      </c>
      <c r="U11" s="38">
        <f t="shared" si="12"/>
        <v>-0.3050118103</v>
      </c>
      <c r="V11" s="38">
        <f t="shared" si="12"/>
        <v>-0.1319067663</v>
      </c>
      <c r="W11" s="57">
        <f t="shared" si="10"/>
        <v>844</v>
      </c>
      <c r="X11" s="27">
        <f t="shared" si="11"/>
        <v>0.01838945186</v>
      </c>
    </row>
    <row r="12">
      <c r="A12" s="63"/>
      <c r="B12" s="64">
        <v>43812.0</v>
      </c>
      <c r="C12" s="65" t="str">
        <f>HYPERLINK("https://ru.investing.com/equities/nmtp_rts","NMTP")</f>
        <v>NMTP</v>
      </c>
      <c r="D12" s="66" t="s">
        <v>21</v>
      </c>
      <c r="E12" s="66" t="s">
        <v>29</v>
      </c>
      <c r="F12" s="66">
        <v>8.42</v>
      </c>
      <c r="G12" s="66">
        <v>1700.0</v>
      </c>
      <c r="H12" s="32">
        <f t="shared" si="3"/>
        <v>14314</v>
      </c>
      <c r="I12" s="73">
        <f>59.27 + H12*0.003</f>
        <v>102.212</v>
      </c>
      <c r="J12" s="68">
        <f> 2295 + 102</f>
        <v>2397</v>
      </c>
      <c r="K12" s="59"/>
      <c r="L12" s="78">
        <f> 298 + 13</f>
        <v>311</v>
      </c>
      <c r="M12" s="50">
        <f t="shared" si="4"/>
        <v>1983.788</v>
      </c>
      <c r="N12" s="38">
        <f t="shared" si="5"/>
        <v>0.1385907503</v>
      </c>
      <c r="O12" s="38">
        <f t="shared" si="6"/>
        <v>0.06315308847</v>
      </c>
      <c r="P12" s="52" t="str">
        <f>IFERROR(__xludf.DUMMYFUNCTION(" SUBSTITUTE(ImportHTML(CONCATENATE(""http://iss.moex.com/iss/engines/stock/markets/shares/boards/TQBR/securities.html?securities="", C12,""&amp;marketdata.columns=LAST&amp;iss.meta=off&amp;iss.only=marketdata""),""table"",1), ""."", "","")"),"5,97")</f>
        <v>5,97</v>
      </c>
      <c r="Q12" s="39">
        <f t="shared" si="7"/>
        <v>10149</v>
      </c>
      <c r="R12" s="41">
        <f t="shared" si="8"/>
        <v>-0.1513027139</v>
      </c>
      <c r="S12" s="41">
        <f t="shared" si="9"/>
        <v>-0.06894568112</v>
      </c>
      <c r="T12" s="32">
        <f t="shared" ref="T12:V12" si="13">Q12</f>
        <v>10149</v>
      </c>
      <c r="U12" s="38">
        <f t="shared" si="13"/>
        <v>-0.1513027139</v>
      </c>
      <c r="V12" s="38">
        <f t="shared" si="13"/>
        <v>-0.06894568112</v>
      </c>
      <c r="W12" s="57">
        <f t="shared" si="10"/>
        <v>801</v>
      </c>
      <c r="X12" s="27">
        <f t="shared" si="11"/>
        <v>0.01656513454</v>
      </c>
    </row>
    <row r="13">
      <c r="A13" s="63"/>
      <c r="B13" s="64">
        <v>43826.0</v>
      </c>
      <c r="C13" s="65" t="str">
        <f t="shared" ref="C13:C14" si="15">HYPERLINK("https://ru.investing.com/equities/mts_rts","MTSS")</f>
        <v>MTSS</v>
      </c>
      <c r="D13" s="66" t="s">
        <v>21</v>
      </c>
      <c r="E13" s="66" t="s">
        <v>30</v>
      </c>
      <c r="F13" s="66">
        <v>319.85</v>
      </c>
      <c r="G13" s="66">
        <v>30.0</v>
      </c>
      <c r="H13" s="32">
        <f t="shared" si="3"/>
        <v>9595.5</v>
      </c>
      <c r="I13" s="73">
        <f>39.73 + H13*0.003</f>
        <v>68.5165</v>
      </c>
      <c r="J13" s="68">
        <f> 397.5 + 617.1 + 267.9 + 795.3 + 316.5</f>
        <v>2394.3</v>
      </c>
      <c r="K13" s="59"/>
      <c r="L13" s="78">
        <f> 49 + 80 + 33 + 96.8 + 39</f>
        <v>297.8</v>
      </c>
      <c r="M13" s="50">
        <f t="shared" si="4"/>
        <v>2027.9835</v>
      </c>
      <c r="N13" s="38">
        <f t="shared" si="5"/>
        <v>0.2113473503</v>
      </c>
      <c r="O13" s="38">
        <f t="shared" si="6"/>
        <v>0.09802005447</v>
      </c>
      <c r="P13" s="52" t="str">
        <f>IFERROR(__xludf.DUMMYFUNCTION(" SUBSTITUTE(ImportHTML(CONCATENATE(""http://iss.moex.com/iss/engines/stock/markets/shares/boards/TQBR/securities.html?securities="", C13,""&amp;marketdata.columns=LAST&amp;iss.meta=off&amp;iss.only=marketdata""),""table"",1), ""."", "","")"),"261")</f>
        <v>261</v>
      </c>
      <c r="Q13" s="40">
        <f t="shared" si="7"/>
        <v>7830</v>
      </c>
      <c r="R13" s="41">
        <f t="shared" si="8"/>
        <v>0.02716091182</v>
      </c>
      <c r="S13" s="41">
        <f t="shared" si="9"/>
        <v>0.01259686508</v>
      </c>
      <c r="T13" s="79">
        <f t="shared" ref="T13:V13" si="14">Q13</f>
        <v>7830</v>
      </c>
      <c r="U13" s="38">
        <f t="shared" si="14"/>
        <v>0.02716091182</v>
      </c>
      <c r="V13" s="38">
        <f t="shared" si="14"/>
        <v>0.01259686508</v>
      </c>
      <c r="W13" s="57">
        <f t="shared" si="10"/>
        <v>787</v>
      </c>
      <c r="X13" s="27">
        <f t="shared" si="11"/>
        <v>0.01110456535</v>
      </c>
    </row>
    <row r="14">
      <c r="A14" s="63"/>
      <c r="B14" s="64">
        <v>44055.0</v>
      </c>
      <c r="C14" s="65" t="str">
        <f t="shared" si="15"/>
        <v>MTSS</v>
      </c>
      <c r="D14" s="66" t="s">
        <v>21</v>
      </c>
      <c r="E14" s="66" t="s">
        <v>30</v>
      </c>
      <c r="F14" s="66">
        <v>331.5</v>
      </c>
      <c r="G14" s="66">
        <v>20.0</v>
      </c>
      <c r="H14" s="32">
        <f t="shared" si="3"/>
        <v>6630</v>
      </c>
      <c r="I14" s="73">
        <f>19.89</f>
        <v>19.89</v>
      </c>
      <c r="J14" s="68">
        <f> 178.6 + 530.2 + 211</f>
        <v>919.8</v>
      </c>
      <c r="K14" s="59"/>
      <c r="L14" s="78">
        <f> 22 + 64.53 + 26</f>
        <v>112.53</v>
      </c>
      <c r="M14" s="50">
        <f t="shared" si="4"/>
        <v>787.38</v>
      </c>
      <c r="N14" s="38">
        <f t="shared" si="5"/>
        <v>0.118760181</v>
      </c>
      <c r="O14" s="38">
        <f t="shared" si="6"/>
        <v>0.07768363094</v>
      </c>
      <c r="P14" s="52" t="str">
        <f>IFERROR(__xludf.DUMMYFUNCTION(" SUBSTITUTE(ImportHTML(CONCATENATE(""http://iss.moex.com/iss/engines/stock/markets/shares/boards/TQBR/securities.html?securities="", C14,""&amp;marketdata.columns=LAST&amp;iss.meta=off&amp;iss.only=marketdata""),""table"",1), ""."", "","")"),"261")</f>
        <v>261</v>
      </c>
      <c r="Q14" s="39">
        <f t="shared" si="7"/>
        <v>5220</v>
      </c>
      <c r="R14" s="41">
        <f t="shared" si="8"/>
        <v>-0.09362861641</v>
      </c>
      <c r="S14" s="41">
        <f t="shared" si="9"/>
        <v>-0.06124452507</v>
      </c>
      <c r="T14" s="80">
        <f>Q14+Q15</f>
        <v>7087.54106</v>
      </c>
      <c r="U14" s="70">
        <f>(SUM(Q14:Q15) + SUM(M14:M15) - SUM(H14:H15))/SUM(H14:H15)</f>
        <v>-0.09266263535</v>
      </c>
      <c r="V14" s="70">
        <f>U14/(TODAY()-B14)*365</f>
        <v>-0.06061265574</v>
      </c>
      <c r="W14" s="57">
        <f t="shared" si="10"/>
        <v>558</v>
      </c>
      <c r="X14" s="27">
        <f t="shared" si="11"/>
        <v>0.007672687019</v>
      </c>
    </row>
    <row r="15">
      <c r="A15" s="63"/>
      <c r="B15" s="64">
        <v>44055.0</v>
      </c>
      <c r="C15" s="81" t="s">
        <v>31</v>
      </c>
      <c r="D15" s="66" t="s">
        <v>22</v>
      </c>
      <c r="E15" s="66" t="s">
        <v>32</v>
      </c>
      <c r="F15" s="82">
        <f> 73.295 * 30.37</f>
        <v>2225.96915</v>
      </c>
      <c r="G15" s="66">
        <v>1.0</v>
      </c>
      <c r="H15" s="83">
        <f t="shared" si="3"/>
        <v>2225.96915</v>
      </c>
      <c r="I15" s="73">
        <f>73.295 * 0.09 + 7.7</f>
        <v>14.29655</v>
      </c>
      <c r="J15" s="84">
        <f> (0.47 * 77) + (0.47 * 75.5) + (0.47 * 74.5) + (0.47 * 73.5) + (0.47 * 71.26)</f>
        <v>174.7272</v>
      </c>
      <c r="K15" s="59"/>
      <c r="L15" s="78"/>
      <c r="M15" s="50">
        <f t="shared" si="4"/>
        <v>160.43065</v>
      </c>
      <c r="N15" s="38">
        <f t="shared" si="5"/>
        <v>0.07207227018</v>
      </c>
      <c r="O15" s="38">
        <f t="shared" si="6"/>
        <v>0.0471440477</v>
      </c>
      <c r="P15" s="85">
        <f>IFERROR(__xludf.DUMMYFUNCTION("googlefinance(C15) * GoogleFinance(""Currency:USDRUB"")"),1867.54106)</f>
        <v>1867.54106</v>
      </c>
      <c r="Q15" s="40">
        <f t="shared" si="7"/>
        <v>1867.54106</v>
      </c>
      <c r="R15" s="41">
        <f t="shared" si="8"/>
        <v>-0.08838123085</v>
      </c>
      <c r="S15" s="41">
        <f t="shared" si="9"/>
        <v>-0.05781209545</v>
      </c>
      <c r="T15" s="61"/>
      <c r="U15" s="61"/>
      <c r="V15" s="61"/>
      <c r="W15" s="57">
        <f t="shared" si="10"/>
        <v>558</v>
      </c>
      <c r="X15" s="27">
        <f t="shared" si="11"/>
        <v>0.002576042927</v>
      </c>
    </row>
    <row r="16">
      <c r="A16" s="63"/>
      <c r="B16" s="64">
        <v>44078.0</v>
      </c>
      <c r="C16" s="81" t="s">
        <v>31</v>
      </c>
      <c r="D16" s="66" t="s">
        <v>22</v>
      </c>
      <c r="E16" s="66" t="s">
        <v>32</v>
      </c>
      <c r="F16" s="82">
        <f> 75.3757 * 29.62</f>
        <v>2232.628234</v>
      </c>
      <c r="G16" s="66">
        <v>5.0</v>
      </c>
      <c r="H16" s="83">
        <f t="shared" si="3"/>
        <v>11163.14117</v>
      </c>
      <c r="I16" s="73">
        <f> 75.3757 * 0.45 + 36.86</f>
        <v>70.779065</v>
      </c>
      <c r="J16" s="84">
        <f> (2.34 * 77) + (2.34 * 75.5) + (2.34 * 74.5) + (2.34 * 73.5) + (2.34 * 71.26)</f>
        <v>869.9184</v>
      </c>
      <c r="K16" s="59"/>
      <c r="L16" s="78"/>
      <c r="M16" s="50">
        <f t="shared" si="4"/>
        <v>799.139335</v>
      </c>
      <c r="N16" s="38">
        <f t="shared" si="5"/>
        <v>0.07158731784</v>
      </c>
      <c r="O16" s="38">
        <f t="shared" si="6"/>
        <v>0.04883994581</v>
      </c>
      <c r="P16" s="85">
        <f>IFERROR(__xludf.DUMMYFUNCTION("googlefinance(C16) * GoogleFinance(""Currency:USDRUB"")"),1867.54106)</f>
        <v>1867.54106</v>
      </c>
      <c r="Q16" s="40">
        <f t="shared" si="7"/>
        <v>9337.7053</v>
      </c>
      <c r="R16" s="41">
        <f t="shared" si="8"/>
        <v>-0.09135693627</v>
      </c>
      <c r="S16" s="41">
        <f t="shared" si="9"/>
        <v>-0.06232762942</v>
      </c>
      <c r="T16" s="79">
        <f t="shared" ref="T16:V16" si="16">Q16</f>
        <v>9337.7053</v>
      </c>
      <c r="U16" s="38">
        <f t="shared" si="16"/>
        <v>-0.09135693627</v>
      </c>
      <c r="V16" s="38">
        <f t="shared" si="16"/>
        <v>-0.06232762942</v>
      </c>
      <c r="W16" s="57">
        <f t="shared" si="10"/>
        <v>535</v>
      </c>
      <c r="X16" s="27">
        <f t="shared" si="11"/>
        <v>0.01291874636</v>
      </c>
    </row>
    <row r="17">
      <c r="A17" s="63"/>
      <c r="B17" s="64">
        <v>44089.0</v>
      </c>
      <c r="C17" s="81" t="s">
        <v>33</v>
      </c>
      <c r="D17" s="66" t="s">
        <v>22</v>
      </c>
      <c r="E17" s="66" t="s">
        <v>28</v>
      </c>
      <c r="F17" s="82">
        <f> 75.06 * 37.07</f>
        <v>2782.4742</v>
      </c>
      <c r="G17" s="66">
        <v>3.0</v>
      </c>
      <c r="H17" s="83">
        <f t="shared" si="3"/>
        <v>8347.4226</v>
      </c>
      <c r="I17" s="73">
        <f> 75.06 * 0.33 + 21.84</f>
        <v>46.6098</v>
      </c>
      <c r="J17" s="84">
        <f> 2.35 * 73.39 + 2.35 * 74 + 2.35 * 72.77 + 2.35 * 72.54</f>
        <v>687.845</v>
      </c>
      <c r="K17" s="59"/>
      <c r="L17" s="78"/>
      <c r="M17" s="50">
        <f t="shared" si="4"/>
        <v>641.2352</v>
      </c>
      <c r="N17" s="38">
        <f t="shared" si="5"/>
        <v>0.0768183463</v>
      </c>
      <c r="O17" s="38">
        <f t="shared" si="6"/>
        <v>0.05350896259</v>
      </c>
      <c r="P17" s="85">
        <f>IFERROR(__xludf.DUMMYFUNCTION("googlefinance(C17) * GoogleFinance(""Currency:USDRUB"")"),6052.49168)</f>
        <v>6052.49168</v>
      </c>
      <c r="Q17" s="40">
        <f t="shared" si="7"/>
        <v>18157.47504</v>
      </c>
      <c r="R17" s="41">
        <f t="shared" si="8"/>
        <v>1.245085454</v>
      </c>
      <c r="S17" s="41">
        <f t="shared" si="9"/>
        <v>0.8672828066</v>
      </c>
      <c r="T17" s="80">
        <f>Q17+Q18</f>
        <v>20165.47504</v>
      </c>
      <c r="U17" s="70">
        <f>(SUM(Q17:Q18) + SUM(M17:M18) - SUM(H17:H18))/SUM(H17:H18)</f>
        <v>0.9930617094</v>
      </c>
      <c r="V17" s="70">
        <f>U17/(TODAY()-B17)*365</f>
        <v>0.6917319159</v>
      </c>
      <c r="W17" s="57">
        <f t="shared" si="10"/>
        <v>524</v>
      </c>
      <c r="X17" s="27">
        <f t="shared" si="11"/>
        <v>0.009660205283</v>
      </c>
    </row>
    <row r="18">
      <c r="A18" s="63"/>
      <c r="B18" s="64">
        <v>44089.0</v>
      </c>
      <c r="C18" s="81" t="s">
        <v>34</v>
      </c>
      <c r="D18" s="66" t="s">
        <v>21</v>
      </c>
      <c r="E18" s="66" t="s">
        <v>26</v>
      </c>
      <c r="F18" s="72">
        <v>0.2202</v>
      </c>
      <c r="G18" s="66">
        <v>10000.0</v>
      </c>
      <c r="H18" s="83">
        <f t="shared" si="3"/>
        <v>2202</v>
      </c>
      <c r="I18" s="67">
        <v>6.61</v>
      </c>
      <c r="J18" s="68">
        <f> 259.26</f>
        <v>259.26</v>
      </c>
      <c r="K18" s="59"/>
      <c r="L18" s="78">
        <f> 33.71</f>
        <v>33.71</v>
      </c>
      <c r="M18" s="50">
        <f t="shared" si="4"/>
        <v>218.94</v>
      </c>
      <c r="N18" s="38">
        <f t="shared" si="5"/>
        <v>0.09942779292</v>
      </c>
      <c r="O18" s="38">
        <f t="shared" si="6"/>
        <v>0.06925790919</v>
      </c>
      <c r="P18" s="52" t="str">
        <f>IFERROR(__xludf.DUMMYFUNCTION(" SUBSTITUTE(ImportHTML(CONCATENATE(""http://iss.moex.com/iss/engines/stock/markets/shares/boards/TQBR/securities.html?securities="", C18,""&amp;marketdata.columns=LAST&amp;iss.meta=off&amp;iss.only=marketdata""),""table"",1), ""."", "","")"),"0,2008")</f>
        <v>0,2008</v>
      </c>
      <c r="Q18" s="40">
        <f t="shared" si="7"/>
        <v>2008</v>
      </c>
      <c r="R18" s="41">
        <f t="shared" si="8"/>
        <v>0.01129217019</v>
      </c>
      <c r="S18" s="41">
        <f t="shared" si="9"/>
        <v>0.007865729234</v>
      </c>
      <c r="T18" s="61"/>
      <c r="U18" s="61"/>
      <c r="V18" s="61"/>
      <c r="W18" s="57">
        <f t="shared" si="10"/>
        <v>524</v>
      </c>
      <c r="X18" s="27">
        <f t="shared" si="11"/>
        <v>0.002548304196</v>
      </c>
    </row>
    <row r="19">
      <c r="A19" s="63"/>
      <c r="B19" s="64">
        <v>44109.0</v>
      </c>
      <c r="C19" s="65" t="str">
        <f>HYPERLINK("https://ru.investing.com/equities/sberbank-p_rts","SBERP")</f>
        <v>SBERP</v>
      </c>
      <c r="D19" s="66" t="s">
        <v>21</v>
      </c>
      <c r="E19" s="66" t="s">
        <v>25</v>
      </c>
      <c r="F19" s="66">
        <v>202.62</v>
      </c>
      <c r="G19" s="66">
        <v>70.0</v>
      </c>
      <c r="H19" s="32">
        <f t="shared" si="3"/>
        <v>14183.4</v>
      </c>
      <c r="I19" s="67">
        <v>42.55</v>
      </c>
      <c r="J19" s="68">
        <f> 1309</f>
        <v>1309</v>
      </c>
      <c r="K19" s="59"/>
      <c r="L19" s="69">
        <f> 170.19</f>
        <v>170.19</v>
      </c>
      <c r="M19" s="50">
        <f t="shared" si="4"/>
        <v>1096.26</v>
      </c>
      <c r="N19" s="38">
        <f t="shared" si="5"/>
        <v>0.07729176361</v>
      </c>
      <c r="O19" s="38">
        <f t="shared" si="6"/>
        <v>0.05597518595</v>
      </c>
      <c r="P19" s="52" t="str">
        <f>IFERROR(__xludf.DUMMYFUNCTION(" SUBSTITUTE(ImportHTML(CONCATENATE(""http://iss.moex.com/iss/engines/stock/markets/shares/boards/TQBR/securities.html?securities="", C19,""&amp;marketdata.columns=LAST&amp;iss.meta=off&amp;iss.only=marketdata""),""table"",1), ""."", "","")"),"220,64")</f>
        <v>220,64</v>
      </c>
      <c r="Q19" s="39">
        <f t="shared" si="7"/>
        <v>15444.8</v>
      </c>
      <c r="R19" s="41">
        <f t="shared" si="8"/>
        <v>0.1657295295</v>
      </c>
      <c r="S19" s="41">
        <f t="shared" si="9"/>
        <v>0.1200223775</v>
      </c>
      <c r="T19" s="32">
        <f t="shared" ref="T19:V19" si="17">Q19</f>
        <v>15444.8</v>
      </c>
      <c r="U19" s="38">
        <f t="shared" si="17"/>
        <v>0.1657295295</v>
      </c>
      <c r="V19" s="38">
        <f t="shared" si="17"/>
        <v>0.1200223775</v>
      </c>
      <c r="W19" s="57">
        <f t="shared" si="10"/>
        <v>504</v>
      </c>
      <c r="X19" s="27">
        <f t="shared" si="11"/>
        <v>0.01641399534</v>
      </c>
    </row>
    <row r="20">
      <c r="A20" s="63"/>
      <c r="B20" s="64">
        <v>44193.0</v>
      </c>
      <c r="C20" s="81" t="s">
        <v>31</v>
      </c>
      <c r="D20" s="66" t="s">
        <v>22</v>
      </c>
      <c r="E20" s="66" t="s">
        <v>32</v>
      </c>
      <c r="F20" s="82">
        <f> 29.13 * 73.717</f>
        <v>2147.37621</v>
      </c>
      <c r="G20" s="66">
        <v>8.0</v>
      </c>
      <c r="H20" s="83">
        <f t="shared" si="3"/>
        <v>17179.00968</v>
      </c>
      <c r="I20" s="67">
        <f> 0.68 * 73.717</f>
        <v>50.12756</v>
      </c>
      <c r="J20" s="84">
        <f> (3.74 * 75.5) + (3.74 * 74.5) + (3.74 * 73.5) + (3.74 * 71.26)</f>
        <v>1102.4024</v>
      </c>
      <c r="K20" s="59"/>
      <c r="L20" s="78"/>
      <c r="M20" s="50">
        <f t="shared" si="4"/>
        <v>1052.27484</v>
      </c>
      <c r="N20" s="38">
        <f t="shared" si="5"/>
        <v>0.06125352157</v>
      </c>
      <c r="O20" s="38">
        <f t="shared" si="6"/>
        <v>0.05323222708</v>
      </c>
      <c r="P20" s="85">
        <f>IFERROR(__xludf.DUMMYFUNCTION("googlefinance(C20) * GoogleFinance(""Currency:USDRUB"")"),1867.54106)</f>
        <v>1867.54106</v>
      </c>
      <c r="Q20" s="85">
        <f t="shared" si="7"/>
        <v>14940.32848</v>
      </c>
      <c r="R20" s="41">
        <f t="shared" si="8"/>
        <v>-0.06886046257</v>
      </c>
      <c r="S20" s="41">
        <f t="shared" si="9"/>
        <v>-0.05984302104</v>
      </c>
      <c r="T20" s="86">
        <f>sum(Q20:Q27)</f>
        <v>188553.2468</v>
      </c>
      <c r="U20" s="70">
        <f>(SUM(Q20:Q27) + SUM(M20:M27) - SUM(H20:H27))/SUM(H20:H27)</f>
        <v>0.3211384531</v>
      </c>
      <c r="V20" s="70">
        <f>U20/(TODAY()-B20)*365</f>
        <v>0.279084608</v>
      </c>
      <c r="W20" s="57">
        <f t="shared" si="10"/>
        <v>420</v>
      </c>
      <c r="X20" s="27">
        <f t="shared" si="11"/>
        <v>0.01988071864</v>
      </c>
    </row>
    <row r="21">
      <c r="A21" s="63"/>
      <c r="B21" s="64">
        <v>44193.0</v>
      </c>
      <c r="C21" s="81" t="s">
        <v>33</v>
      </c>
      <c r="D21" s="66" t="s">
        <v>22</v>
      </c>
      <c r="E21" s="66" t="s">
        <v>28</v>
      </c>
      <c r="F21" s="82">
        <f> 42.3 * 73.717</f>
        <v>3118.2291</v>
      </c>
      <c r="G21" s="66">
        <v>7.0</v>
      </c>
      <c r="H21" s="83">
        <f t="shared" si="3"/>
        <v>21827.6037</v>
      </c>
      <c r="I21" s="67">
        <f> 0.91 * 73.717</f>
        <v>67.08247</v>
      </c>
      <c r="J21" s="84">
        <f> 5.48 * 74 + 5.48 * 72.77 + 5.48 * 72.54</f>
        <v>1201.8188</v>
      </c>
      <c r="K21" s="59"/>
      <c r="L21" s="78"/>
      <c r="M21" s="50">
        <f t="shared" si="4"/>
        <v>1134.73633</v>
      </c>
      <c r="N21" s="38">
        <f t="shared" si="5"/>
        <v>0.05198629889</v>
      </c>
      <c r="O21" s="38">
        <f t="shared" si="6"/>
        <v>0.04517856927</v>
      </c>
      <c r="P21" s="85">
        <f>IFERROR(__xludf.DUMMYFUNCTION("googlefinance(C21) * GoogleFinance(""Currency:USDRUB"")"),6052.49168)</f>
        <v>6052.49168</v>
      </c>
      <c r="Q21" s="85">
        <f t="shared" si="7"/>
        <v>42367.44176</v>
      </c>
      <c r="R21" s="41">
        <f t="shared" si="8"/>
        <v>0.9899467945</v>
      </c>
      <c r="S21" s="41">
        <f t="shared" si="9"/>
        <v>0.8603109047</v>
      </c>
      <c r="T21" s="75"/>
      <c r="U21" s="75"/>
      <c r="V21" s="75"/>
      <c r="W21" s="57">
        <f t="shared" si="10"/>
        <v>420</v>
      </c>
      <c r="X21" s="27">
        <f t="shared" si="11"/>
        <v>0.02526038787</v>
      </c>
    </row>
    <row r="22">
      <c r="A22" s="63"/>
      <c r="B22" s="64">
        <v>44193.0</v>
      </c>
      <c r="C22" s="81" t="s">
        <v>35</v>
      </c>
      <c r="D22" s="66" t="s">
        <v>22</v>
      </c>
      <c r="E22" s="66" t="s">
        <v>36</v>
      </c>
      <c r="F22" s="82">
        <f> 104.09 * 73.717</f>
        <v>7673.20253</v>
      </c>
      <c r="G22" s="66">
        <v>4.0</v>
      </c>
      <c r="H22" s="83">
        <f t="shared" si="3"/>
        <v>30692.81012</v>
      </c>
      <c r="I22" s="67">
        <f> 1.25 * 73.717</f>
        <v>92.14625</v>
      </c>
      <c r="J22" s="84">
        <f> 4.68 * 73.95 + 4.68 * 73.72 + 4.68 * 74.02</f>
        <v>1037.5092</v>
      </c>
      <c r="K22" s="59"/>
      <c r="L22" s="78"/>
      <c r="M22" s="50">
        <f t="shared" si="4"/>
        <v>945.36295</v>
      </c>
      <c r="N22" s="38">
        <f t="shared" si="5"/>
        <v>0.03080079492</v>
      </c>
      <c r="O22" s="38">
        <f t="shared" si="6"/>
        <v>0.02676735749</v>
      </c>
      <c r="P22" s="85">
        <f>IFERROR(__xludf.DUMMYFUNCTION("googlefinance(C22) * GoogleFinance(""Currency:USDRUB"")"),11268.61914)</f>
        <v>11268.61914</v>
      </c>
      <c r="Q22" s="85">
        <f t="shared" si="7"/>
        <v>45074.47656</v>
      </c>
      <c r="R22" s="41">
        <f t="shared" si="8"/>
        <v>0.4978740007</v>
      </c>
      <c r="S22" s="41">
        <f t="shared" si="9"/>
        <v>0.4326762149</v>
      </c>
      <c r="T22" s="75"/>
      <c r="U22" s="75"/>
      <c r="V22" s="75"/>
      <c r="W22" s="57">
        <f t="shared" si="10"/>
        <v>420</v>
      </c>
      <c r="X22" s="27">
        <f t="shared" si="11"/>
        <v>0.03551980781</v>
      </c>
    </row>
    <row r="23">
      <c r="A23" s="63"/>
      <c r="B23" s="64">
        <v>44193.0</v>
      </c>
      <c r="C23" s="65" t="str">
        <f>HYPERLINK("https://ru.investing.com/equities/tatneft-p_rts","TATNP")</f>
        <v>TATNP</v>
      </c>
      <c r="D23" s="66" t="s">
        <v>21</v>
      </c>
      <c r="E23" s="66" t="s">
        <v>28</v>
      </c>
      <c r="F23" s="82">
        <v>470.3</v>
      </c>
      <c r="G23" s="66">
        <v>42.0</v>
      </c>
      <c r="H23" s="83">
        <f t="shared" si="3"/>
        <v>19752.6</v>
      </c>
      <c r="I23" s="67">
        <v>59.26</v>
      </c>
      <c r="J23" s="68">
        <f> 516.6 + 693.84</f>
        <v>1210.44</v>
      </c>
      <c r="K23" s="59"/>
      <c r="L23" s="74">
        <f> 67.12 + 90.16</f>
        <v>157.28</v>
      </c>
      <c r="M23" s="50">
        <f t="shared" si="4"/>
        <v>993.9</v>
      </c>
      <c r="N23" s="38">
        <f t="shared" si="5"/>
        <v>0.05031742657</v>
      </c>
      <c r="O23" s="38">
        <f t="shared" si="6"/>
        <v>0.04372823975</v>
      </c>
      <c r="P23" s="52" t="str">
        <f>IFERROR(__xludf.DUMMYFUNCTION(" SUBSTITUTE(ImportHTML(CONCATENATE(""http://iss.moex.com/iss/engines/stock/markets/shares/boards/TQBR/securities.html?securities="", C23,""&amp;marketdata.columns=LAST&amp;iss.meta=off&amp;iss.only=marketdata""),""table"",1), ""."", "","")"),"407,6")</f>
        <v>407,6</v>
      </c>
      <c r="Q23" s="85">
        <f t="shared" si="7"/>
        <v>17119.2</v>
      </c>
      <c r="R23" s="41">
        <f t="shared" si="8"/>
        <v>-0.08275346182</v>
      </c>
      <c r="S23" s="41">
        <f t="shared" si="9"/>
        <v>-0.07191669896</v>
      </c>
      <c r="T23" s="75"/>
      <c r="U23" s="75"/>
      <c r="V23" s="75"/>
      <c r="W23" s="57">
        <f t="shared" si="10"/>
        <v>420</v>
      </c>
      <c r="X23" s="27">
        <f t="shared" si="11"/>
        <v>0.02285905243</v>
      </c>
    </row>
    <row r="24">
      <c r="A24" s="63"/>
      <c r="B24" s="64">
        <v>44193.0</v>
      </c>
      <c r="C24" s="58" t="str">
        <f>HYPERLINK("https://ru.investing.com/equities/phosagro","PHOR")</f>
        <v>PHOR</v>
      </c>
      <c r="D24" s="66" t="s">
        <v>21</v>
      </c>
      <c r="E24" s="66" t="s">
        <v>24</v>
      </c>
      <c r="F24" s="82">
        <v>3111.0</v>
      </c>
      <c r="G24" s="66">
        <v>6.0</v>
      </c>
      <c r="H24" s="83">
        <f t="shared" si="3"/>
        <v>18666</v>
      </c>
      <c r="I24" s="67">
        <v>56.0</v>
      </c>
      <c r="J24" s="68">
        <f> 378 + 630 + 936</f>
        <v>1944</v>
      </c>
      <c r="K24" s="59"/>
      <c r="L24" s="74">
        <f> 49.2 + 82.2 + 121.64</f>
        <v>253.04</v>
      </c>
      <c r="M24" s="50">
        <f t="shared" si="4"/>
        <v>1634.96</v>
      </c>
      <c r="N24" s="38">
        <f t="shared" si="5"/>
        <v>0.08759027108</v>
      </c>
      <c r="O24" s="38">
        <f t="shared" si="6"/>
        <v>0.07612011653</v>
      </c>
      <c r="P24" s="52" t="str">
        <f>IFERROR(__xludf.DUMMYFUNCTION(" SUBSTITUTE(ImportHTML(CONCATENATE(""http://iss.moex.com/iss/engines/stock/markets/shares/boards/TQBR/securities.html?securities="", C24,""&amp;marketdata.columns=LAST&amp;iss.meta=off&amp;iss.only=marketdata""),""table"",1), ""."", "","")"),"5843")</f>
        <v>5843</v>
      </c>
      <c r="Q24" s="85">
        <f t="shared" si="7"/>
        <v>35058</v>
      </c>
      <c r="R24" s="41">
        <f t="shared" si="8"/>
        <v>0.9628757611</v>
      </c>
      <c r="S24" s="41">
        <f t="shared" si="9"/>
        <v>0.8367848877</v>
      </c>
      <c r="T24" s="75"/>
      <c r="U24" s="75"/>
      <c r="V24" s="75"/>
      <c r="W24" s="57">
        <f t="shared" si="10"/>
        <v>420</v>
      </c>
      <c r="X24" s="27">
        <f t="shared" si="11"/>
        <v>0.02160156499</v>
      </c>
    </row>
    <row r="25">
      <c r="A25" s="63"/>
      <c r="B25" s="64">
        <v>44193.0</v>
      </c>
      <c r="C25" s="65" t="str">
        <f>HYPERLINK("https://ru.investing.com/equities/mts_rts","MTSS")</f>
        <v>MTSS</v>
      </c>
      <c r="D25" s="66" t="s">
        <v>21</v>
      </c>
      <c r="E25" s="66" t="s">
        <v>30</v>
      </c>
      <c r="F25" s="82">
        <v>329.0</v>
      </c>
      <c r="G25" s="66">
        <v>40.0</v>
      </c>
      <c r="H25" s="83">
        <f t="shared" si="3"/>
        <v>13160</v>
      </c>
      <c r="I25" s="67">
        <v>39.48</v>
      </c>
      <c r="J25" s="68">
        <f> 1060.4 + 422</f>
        <v>1482.4</v>
      </c>
      <c r="K25" s="59"/>
      <c r="L25" s="74">
        <f> 129.07 + 52</f>
        <v>181.07</v>
      </c>
      <c r="M25" s="50">
        <f t="shared" si="4"/>
        <v>1261.85</v>
      </c>
      <c r="N25" s="38">
        <f t="shared" si="5"/>
        <v>0.09588525836</v>
      </c>
      <c r="O25" s="38">
        <f t="shared" si="6"/>
        <v>0.08332885548</v>
      </c>
      <c r="P25" s="52" t="str">
        <f>IFERROR(__xludf.DUMMYFUNCTION(" SUBSTITUTE(ImportHTML(CONCATENATE(""http://iss.moex.com/iss/engines/stock/markets/shares/boards/TQBR/securities.html?securities="", C25,""&amp;marketdata.columns=LAST&amp;iss.meta=off&amp;iss.only=marketdata""),""table"",1), ""."", "","")"),"261")</f>
        <v>261</v>
      </c>
      <c r="Q25" s="85">
        <f t="shared" si="7"/>
        <v>10440</v>
      </c>
      <c r="R25" s="41">
        <f t="shared" si="8"/>
        <v>-0.1104702609</v>
      </c>
      <c r="S25" s="41">
        <f t="shared" si="9"/>
        <v>-0.09600391725</v>
      </c>
      <c r="T25" s="75"/>
      <c r="U25" s="75"/>
      <c r="V25" s="75"/>
      <c r="W25" s="57">
        <f t="shared" si="10"/>
        <v>420</v>
      </c>
      <c r="X25" s="27">
        <f t="shared" si="11"/>
        <v>0.01522964724</v>
      </c>
    </row>
    <row r="26">
      <c r="A26" s="63"/>
      <c r="B26" s="64">
        <v>44193.0</v>
      </c>
      <c r="C26" s="65" t="str">
        <f>HYPERLINK("https://ru.investing.com/equities/mrsk-cip","MRKP")</f>
        <v>MRKP</v>
      </c>
      <c r="D26" s="66" t="s">
        <v>21</v>
      </c>
      <c r="E26" s="66" t="s">
        <v>26</v>
      </c>
      <c r="F26" s="82">
        <v>0.2431</v>
      </c>
      <c r="G26" s="66">
        <v>70000.0</v>
      </c>
      <c r="H26" s="83">
        <f t="shared" si="3"/>
        <v>17017</v>
      </c>
      <c r="I26" s="67">
        <v>51.05</v>
      </c>
      <c r="J26" s="68">
        <f> 1814.83</f>
        <v>1814.83</v>
      </c>
      <c r="K26" s="59"/>
      <c r="L26" s="74">
        <f> 235.94</f>
        <v>235.94</v>
      </c>
      <c r="M26" s="50">
        <f t="shared" si="4"/>
        <v>1527.84</v>
      </c>
      <c r="N26" s="38">
        <f t="shared" si="5"/>
        <v>0.08978315802</v>
      </c>
      <c r="O26" s="38">
        <f t="shared" si="6"/>
        <v>0.07802583971</v>
      </c>
      <c r="P26" s="52" t="str">
        <f>IFERROR(__xludf.DUMMYFUNCTION(" SUBSTITUTE(ImportHTML(CONCATENATE(""http://iss.moex.com/iss/engines/stock/markets/shares/boards/TQBR/securities.html?securities="", C26,""&amp;marketdata.columns=LAST&amp;iss.meta=off&amp;iss.only=marketdata""),""table"",1), ""."", "","")"),"0,2008")</f>
        <v>0,2008</v>
      </c>
      <c r="Q26" s="85">
        <f t="shared" si="7"/>
        <v>14056</v>
      </c>
      <c r="R26" s="41">
        <f t="shared" si="8"/>
        <v>-0.0839674128</v>
      </c>
      <c r="S26" s="41">
        <f t="shared" si="9"/>
        <v>-0.07297168017</v>
      </c>
      <c r="T26" s="75"/>
      <c r="U26" s="75"/>
      <c r="V26" s="75"/>
      <c r="W26" s="57">
        <f t="shared" si="10"/>
        <v>420</v>
      </c>
      <c r="X26" s="27">
        <f t="shared" si="11"/>
        <v>0.01969323002</v>
      </c>
    </row>
    <row r="27">
      <c r="A27" s="63"/>
      <c r="B27" s="64">
        <v>44193.0</v>
      </c>
      <c r="C27" s="65" t="str">
        <f>HYPERLINK("https://ru.investing.com/equities/lsr-group_rts","LSRG")</f>
        <v>LSRG</v>
      </c>
      <c r="D27" s="66" t="s">
        <v>21</v>
      </c>
      <c r="E27" s="66" t="s">
        <v>27</v>
      </c>
      <c r="F27" s="82">
        <v>862.0</v>
      </c>
      <c r="G27" s="66">
        <v>13.0</v>
      </c>
      <c r="H27" s="83">
        <f t="shared" si="3"/>
        <v>11206</v>
      </c>
      <c r="I27" s="67">
        <v>33.62</v>
      </c>
      <c r="J27" s="68">
        <f> 507</f>
        <v>507</v>
      </c>
      <c r="K27" s="59"/>
      <c r="L27" s="74">
        <f> 66</f>
        <v>66</v>
      </c>
      <c r="M27" s="50">
        <f t="shared" si="4"/>
        <v>407.38</v>
      </c>
      <c r="N27" s="38">
        <f t="shared" si="5"/>
        <v>0.03635373907</v>
      </c>
      <c r="O27" s="38">
        <f t="shared" si="6"/>
        <v>0.03159313038</v>
      </c>
      <c r="P27" s="52" t="str">
        <f>IFERROR(__xludf.DUMMYFUNCTION(" SUBSTITUTE(ImportHTML(CONCATENATE(""http://iss.moex.com/iss/engines/stock/markets/shares/boards/TQBR/securities.html?securities="", C27,""&amp;marketdata.columns=LAST&amp;iss.meta=off&amp;iss.only=marketdata""),""table"",1), ""."", "","")"),"730,6")</f>
        <v>730,6</v>
      </c>
      <c r="Q27" s="85">
        <f t="shared" si="7"/>
        <v>9497.8</v>
      </c>
      <c r="R27" s="41">
        <f t="shared" si="8"/>
        <v>-0.1157352295</v>
      </c>
      <c r="S27" s="41">
        <f t="shared" si="9"/>
        <v>-0.1005794256</v>
      </c>
      <c r="T27" s="61"/>
      <c r="U27" s="61"/>
      <c r="V27" s="61"/>
      <c r="W27" s="57">
        <f t="shared" si="10"/>
        <v>420</v>
      </c>
      <c r="X27" s="27">
        <f t="shared" si="11"/>
        <v>0.01296834551</v>
      </c>
    </row>
    <row r="28">
      <c r="A28" s="87"/>
      <c r="B28" s="64">
        <v>44216.0</v>
      </c>
      <c r="C28" s="81" t="s">
        <v>31</v>
      </c>
      <c r="D28" s="66" t="s">
        <v>22</v>
      </c>
      <c r="E28" s="66" t="s">
        <v>32</v>
      </c>
      <c r="F28" s="82">
        <f> 29.1 * 73.5241</f>
        <v>2139.55131</v>
      </c>
      <c r="G28" s="66">
        <v>3.0</v>
      </c>
      <c r="H28" s="83">
        <f t="shared" si="3"/>
        <v>6418.65393</v>
      </c>
      <c r="I28" s="67">
        <f> 0.26 * 73.717</f>
        <v>19.16642</v>
      </c>
      <c r="J28" s="84">
        <f> (1.4 * 74.5) + (1.4 * 73.5) + (1.4 * 71.26)</f>
        <v>306.964</v>
      </c>
      <c r="K28" s="59"/>
      <c r="L28" s="74"/>
      <c r="M28" s="50">
        <f t="shared" si="4"/>
        <v>287.79758</v>
      </c>
      <c r="N28" s="38">
        <f t="shared" si="5"/>
        <v>0.04483768453</v>
      </c>
      <c r="O28" s="38">
        <f t="shared" si="6"/>
        <v>0.04122356386</v>
      </c>
      <c r="P28" s="85">
        <f>IFERROR(__xludf.DUMMYFUNCTION("googlefinance(C28) * GoogleFinance(""Currency:USDRUB"")"),1867.54106)</f>
        <v>1867.54106</v>
      </c>
      <c r="Q28" s="85">
        <f t="shared" si="7"/>
        <v>5602.62318</v>
      </c>
      <c r="R28" s="41">
        <f t="shared" si="8"/>
        <v>-0.08205155492</v>
      </c>
      <c r="S28" s="41">
        <f t="shared" si="9"/>
        <v>-0.07543782757</v>
      </c>
      <c r="T28" s="86">
        <f>sum(Q28:Q29)</f>
        <v>54532.66838</v>
      </c>
      <c r="U28" s="70">
        <f>(SUM(Q28:Q29) + SUM(M28:M29) - SUM(H28:H29))/SUM(H28:H29)</f>
        <v>0.3117440916</v>
      </c>
      <c r="V28" s="70">
        <f>U28/(TODAY()-B28)*365</f>
        <v>0.2866161044</v>
      </c>
      <c r="W28" s="57">
        <f t="shared" si="10"/>
        <v>397</v>
      </c>
      <c r="X28" s="27">
        <f t="shared" si="11"/>
        <v>0.00742810297</v>
      </c>
    </row>
    <row r="29">
      <c r="A29" s="88"/>
      <c r="B29" s="64">
        <v>44216.0</v>
      </c>
      <c r="C29" s="81" t="s">
        <v>37</v>
      </c>
      <c r="D29" s="66" t="s">
        <v>22</v>
      </c>
      <c r="E29" s="66" t="s">
        <v>38</v>
      </c>
      <c r="F29" s="82">
        <f> 48.87 * 73.5241</f>
        <v>3593.122767</v>
      </c>
      <c r="G29" s="66">
        <v>10.0</v>
      </c>
      <c r="H29" s="83">
        <f t="shared" si="3"/>
        <v>35931.22767</v>
      </c>
      <c r="I29" s="67">
        <f> 1.47 * 73.717</f>
        <v>108.36399</v>
      </c>
      <c r="J29" s="84">
        <f> 3.78 * 76.26 + 3.78 * 73.96 + 3.78 * 72.03</f>
        <v>840.105</v>
      </c>
      <c r="K29" s="59"/>
      <c r="L29" s="74"/>
      <c r="M29" s="50">
        <f t="shared" si="4"/>
        <v>731.74101</v>
      </c>
      <c r="N29" s="38">
        <f t="shared" si="5"/>
        <v>0.02036504337</v>
      </c>
      <c r="O29" s="38">
        <f t="shared" si="6"/>
        <v>0.01872352854</v>
      </c>
      <c r="P29" s="85">
        <f>IFERROR(__xludf.DUMMYFUNCTION("googlefinance(C29) * GoogleFinance(""Currency:USDRUB"")"),4893.0045199999995)</f>
        <v>4893.00452</v>
      </c>
      <c r="Q29" s="85">
        <f t="shared" si="7"/>
        <v>48930.0452</v>
      </c>
      <c r="R29" s="41">
        <f t="shared" si="8"/>
        <v>0.3809854082</v>
      </c>
      <c r="S29" s="41">
        <f t="shared" si="9"/>
        <v>0.3502762569</v>
      </c>
      <c r="T29" s="61"/>
      <c r="U29" s="61"/>
      <c r="V29" s="61"/>
      <c r="W29" s="57">
        <f t="shared" si="10"/>
        <v>397</v>
      </c>
      <c r="X29" s="27">
        <f t="shared" si="11"/>
        <v>0.04158206096</v>
      </c>
    </row>
    <row r="30">
      <c r="A30" s="87"/>
      <c r="B30" s="64">
        <v>44230.0</v>
      </c>
      <c r="C30" s="81" t="s">
        <v>39</v>
      </c>
      <c r="D30" s="66" t="s">
        <v>22</v>
      </c>
      <c r="E30" s="66" t="s">
        <v>32</v>
      </c>
      <c r="F30" s="82">
        <f> 120.27 * 76.18</f>
        <v>9162.1686</v>
      </c>
      <c r="G30" s="66">
        <v>2.0</v>
      </c>
      <c r="H30" s="83">
        <f t="shared" si="3"/>
        <v>18324.3372</v>
      </c>
      <c r="I30" s="67">
        <f> 0.72 * 73.717</f>
        <v>53.07624</v>
      </c>
      <c r="J30" s="84">
        <f> 2.93 * 72.66 + 2.95 * 72.17 + 2.95 * 72.38</f>
        <v>639.3163</v>
      </c>
      <c r="K30" s="59"/>
      <c r="L30" s="74"/>
      <c r="M30" s="50">
        <f t="shared" si="4"/>
        <v>586.24006</v>
      </c>
      <c r="N30" s="38">
        <f t="shared" si="5"/>
        <v>0.03199242917</v>
      </c>
      <c r="O30" s="38">
        <f t="shared" si="6"/>
        <v>0.03048886853</v>
      </c>
      <c r="P30" s="85">
        <f>IFERROR(__xludf.DUMMYFUNCTION("googlefinance(C30) * GoogleFinance(""Currency:USDRUB"")"),9728.8953)</f>
        <v>9728.8953</v>
      </c>
      <c r="Q30" s="85">
        <f t="shared" si="7"/>
        <v>19457.7906</v>
      </c>
      <c r="R30" s="41">
        <f t="shared" si="8"/>
        <v>0.09357646905</v>
      </c>
      <c r="S30" s="60">
        <f t="shared" si="9"/>
        <v>0.08917861933</v>
      </c>
      <c r="T30" s="86">
        <f>SUM(Q30:Q36)</f>
        <v>68760.7906</v>
      </c>
      <c r="U30" s="70">
        <f>(SUM(Q30:Q36) + SUM(M30:M36) - SUM(H30:H36))/SUM(H30:H36)</f>
        <v>-0.06942376727</v>
      </c>
      <c r="V30" s="70">
        <f>U30/(TODAY()-B30)*365</f>
        <v>-0.06616103147</v>
      </c>
      <c r="W30" s="57">
        <f t="shared" si="10"/>
        <v>383</v>
      </c>
      <c r="X30" s="27">
        <f t="shared" si="11"/>
        <v>0.02120616956</v>
      </c>
    </row>
    <row r="31">
      <c r="A31" s="89"/>
      <c r="B31" s="42">
        <v>44230.0</v>
      </c>
      <c r="C31" s="43" t="str">
        <f>HYPERLINK("https://ru.investing.com/equities/gmk-noril-nickel_rts","GMKN")</f>
        <v>GMKN</v>
      </c>
      <c r="D31" s="44" t="s">
        <v>21</v>
      </c>
      <c r="E31" s="44" t="s">
        <v>23</v>
      </c>
      <c r="F31" s="44">
        <v>24940.0</v>
      </c>
      <c r="G31" s="44">
        <v>1.0</v>
      </c>
      <c r="H31" s="45">
        <f t="shared" si="3"/>
        <v>24940</v>
      </c>
      <c r="I31" s="90">
        <v>74.82</v>
      </c>
      <c r="J31" s="47">
        <f> 1021.22</f>
        <v>1021.22</v>
      </c>
      <c r="K31" s="48"/>
      <c r="L31" s="49">
        <f> 133</f>
        <v>133</v>
      </c>
      <c r="M31" s="50">
        <f t="shared" si="4"/>
        <v>813.4</v>
      </c>
      <c r="N31" s="51">
        <f t="shared" si="5"/>
        <v>0.03261427426</v>
      </c>
      <c r="O31" s="51">
        <f t="shared" si="6"/>
        <v>0.03108148852</v>
      </c>
      <c r="P31" s="52" t="str">
        <f>IFERROR(__xludf.DUMMYFUNCTION(" SUBSTITUTE(ImportHTML(CONCATENATE(""http://iss.moex.com/iss/engines/stock/markets/shares/boards/TQBR/securities.html?securities="", C31,""&amp;marketdata.columns=LAST&amp;iss.meta=off&amp;iss.only=marketdata""),""table"",1), ""."", "","")"),"20454")</f>
        <v>20454</v>
      </c>
      <c r="Q31" s="52">
        <f t="shared" si="7"/>
        <v>20454</v>
      </c>
      <c r="R31" s="41">
        <f t="shared" si="8"/>
        <v>-0.1468169669</v>
      </c>
      <c r="S31" s="53">
        <f t="shared" si="9"/>
        <v>-0.1399169528</v>
      </c>
      <c r="T31" s="75"/>
      <c r="U31" s="75"/>
      <c r="V31" s="75"/>
      <c r="W31" s="57">
        <f t="shared" si="10"/>
        <v>383</v>
      </c>
      <c r="X31" s="27">
        <f t="shared" si="11"/>
        <v>0.0288622646</v>
      </c>
    </row>
    <row r="32">
      <c r="A32" s="89"/>
      <c r="B32" s="42">
        <v>44230.0</v>
      </c>
      <c r="C32" s="65" t="str">
        <f>HYPERLINK("https://ru.investing.com/equities/lsr-group_rts","LSRG")</f>
        <v>LSRG</v>
      </c>
      <c r="D32" s="44" t="s">
        <v>21</v>
      </c>
      <c r="E32" s="44" t="s">
        <v>27</v>
      </c>
      <c r="F32" s="44">
        <v>939.8</v>
      </c>
      <c r="G32" s="44">
        <v>5.0</v>
      </c>
      <c r="H32" s="45">
        <f t="shared" si="3"/>
        <v>4699</v>
      </c>
      <c r="I32" s="90">
        <v>14.1</v>
      </c>
      <c r="J32" s="47">
        <f> 195</f>
        <v>195</v>
      </c>
      <c r="K32" s="48"/>
      <c r="L32" s="91">
        <f> 25.38</f>
        <v>25.38</v>
      </c>
      <c r="M32" s="50">
        <f t="shared" si="4"/>
        <v>155.52</v>
      </c>
      <c r="N32" s="51">
        <f t="shared" si="5"/>
        <v>0.03309640349</v>
      </c>
      <c r="O32" s="51">
        <f t="shared" si="6"/>
        <v>0.03154095894</v>
      </c>
      <c r="P32" s="52" t="str">
        <f>IFERROR(__xludf.DUMMYFUNCTION(" SUBSTITUTE(ImportHTML(CONCATENATE(""http://iss.moex.com/iss/engines/stock/markets/shares/boards/TQBR/securities.html?securities="", C32,""&amp;marketdata.columns=LAST&amp;iss.meta=off&amp;iss.only=marketdata""),""table"",1), ""."", "","")"),"730,6")</f>
        <v>730,6</v>
      </c>
      <c r="Q32" s="52">
        <f t="shared" si="7"/>
        <v>3653</v>
      </c>
      <c r="R32" s="41">
        <f t="shared" si="8"/>
        <v>-0.1889372175</v>
      </c>
      <c r="S32" s="53">
        <f t="shared" si="9"/>
        <v>-0.1800576616</v>
      </c>
      <c r="T32" s="75"/>
      <c r="U32" s="75"/>
      <c r="V32" s="75"/>
      <c r="W32" s="57">
        <f t="shared" si="10"/>
        <v>383</v>
      </c>
      <c r="X32" s="27">
        <f t="shared" si="11"/>
        <v>0.005438002459</v>
      </c>
    </row>
    <row r="33">
      <c r="B33" s="42">
        <v>44230.0</v>
      </c>
      <c r="C33" s="65" t="str">
        <f>HYPERLINK("https://ru.investing.com/equities/mrsk-cip","MRKP")</f>
        <v>MRKP</v>
      </c>
      <c r="D33" s="44" t="s">
        <v>21</v>
      </c>
      <c r="E33" s="44" t="s">
        <v>26</v>
      </c>
      <c r="F33" s="44">
        <v>0.2435</v>
      </c>
      <c r="G33" s="44">
        <v>30000.0</v>
      </c>
      <c r="H33" s="45">
        <f t="shared" si="3"/>
        <v>7305</v>
      </c>
      <c r="I33" s="90">
        <v>21.91</v>
      </c>
      <c r="J33" s="47">
        <f> 777.79</f>
        <v>777.79</v>
      </c>
      <c r="K33" s="48"/>
      <c r="L33" s="49">
        <f> 101.12</f>
        <v>101.12</v>
      </c>
      <c r="M33" s="50">
        <f t="shared" si="4"/>
        <v>654.76</v>
      </c>
      <c r="N33" s="51">
        <f t="shared" si="5"/>
        <v>0.08963175907</v>
      </c>
      <c r="O33" s="51">
        <f t="shared" si="6"/>
        <v>0.08541930042</v>
      </c>
      <c r="P33" s="52" t="str">
        <f>IFERROR(__xludf.DUMMYFUNCTION(" SUBSTITUTE(ImportHTML(CONCATENATE(""http://iss.moex.com/iss/engines/stock/markets/shares/boards/TQBR/securities.html?securities="", C33,""&amp;marketdata.columns=LAST&amp;iss.meta=off&amp;iss.only=marketdata""),""table"",1), ""."", "","")"),"0,2008")</f>
        <v>0,2008</v>
      </c>
      <c r="Q33" s="52">
        <f t="shared" si="7"/>
        <v>6024</v>
      </c>
      <c r="R33" s="41">
        <f t="shared" si="8"/>
        <v>-0.08547122866</v>
      </c>
      <c r="S33" s="53">
        <f t="shared" si="9"/>
        <v>-0.08145430408</v>
      </c>
      <c r="T33" s="75"/>
      <c r="U33" s="75"/>
      <c r="V33" s="75"/>
      <c r="W33" s="57">
        <f t="shared" si="10"/>
        <v>383</v>
      </c>
      <c r="X33" s="27">
        <f t="shared" si="11"/>
        <v>0.008453842938</v>
      </c>
    </row>
    <row r="34">
      <c r="B34" s="42">
        <v>44230.0</v>
      </c>
      <c r="C34" s="65" t="str">
        <f>HYPERLINK("https://ru.investing.com/equities/mts_rts","MTSS")</f>
        <v>MTSS</v>
      </c>
      <c r="D34" s="44" t="s">
        <v>21</v>
      </c>
      <c r="E34" s="44" t="s">
        <v>30</v>
      </c>
      <c r="F34" s="44">
        <v>332.15</v>
      </c>
      <c r="G34" s="44">
        <v>30.0</v>
      </c>
      <c r="H34" s="45">
        <f t="shared" si="3"/>
        <v>9964.5</v>
      </c>
      <c r="I34" s="90">
        <v>29.89</v>
      </c>
      <c r="J34" s="47">
        <f> 795.3 + 316.5</f>
        <v>1111.8</v>
      </c>
      <c r="K34" s="48"/>
      <c r="L34" s="49">
        <f> 96.8 + 39</f>
        <v>135.8</v>
      </c>
      <c r="M34" s="50">
        <f t="shared" si="4"/>
        <v>946.11</v>
      </c>
      <c r="N34" s="51">
        <f t="shared" si="5"/>
        <v>0.09494806563</v>
      </c>
      <c r="O34" s="51">
        <f t="shared" si="6"/>
        <v>0.09048575445</v>
      </c>
      <c r="P34" s="52" t="str">
        <f>IFERROR(__xludf.DUMMYFUNCTION(" SUBSTITUTE(ImportHTML(CONCATENATE(""http://iss.moex.com/iss/engines/stock/markets/shares/boards/TQBR/securities.html?securities="", C34,""&amp;marketdata.columns=LAST&amp;iss.meta=off&amp;iss.only=marketdata""),""table"",1), ""."", "","")"),"261")</f>
        <v>261</v>
      </c>
      <c r="Q34" s="52">
        <f t="shared" si="7"/>
        <v>7830</v>
      </c>
      <c r="R34" s="41">
        <f t="shared" si="8"/>
        <v>-0.1189057061</v>
      </c>
      <c r="S34" s="53">
        <f t="shared" si="9"/>
        <v>-0.1133174484</v>
      </c>
      <c r="T34" s="75"/>
      <c r="U34" s="75"/>
      <c r="V34" s="75"/>
      <c r="W34" s="57">
        <f t="shared" si="10"/>
        <v>383</v>
      </c>
      <c r="X34" s="27">
        <f t="shared" si="11"/>
        <v>0.01153159726</v>
      </c>
    </row>
    <row r="35">
      <c r="B35" s="42">
        <v>44230.0</v>
      </c>
      <c r="C35" s="65" t="str">
        <f>HYPERLINK("https://ru.investing.com/equities/sberbank-p_rts","SBERP")</f>
        <v>SBERP</v>
      </c>
      <c r="D35" s="44" t="s">
        <v>21</v>
      </c>
      <c r="E35" s="44" t="s">
        <v>25</v>
      </c>
      <c r="F35" s="44">
        <v>243.66</v>
      </c>
      <c r="G35" s="44">
        <v>20.0</v>
      </c>
      <c r="H35" s="45">
        <f t="shared" si="3"/>
        <v>4873.2</v>
      </c>
      <c r="I35" s="90">
        <v>14.62</v>
      </c>
      <c r="J35" s="47">
        <f> 374</f>
        <v>374</v>
      </c>
      <c r="K35" s="48"/>
      <c r="L35" s="91">
        <f> 48.63</f>
        <v>48.63</v>
      </c>
      <c r="M35" s="50">
        <f t="shared" si="4"/>
        <v>310.75</v>
      </c>
      <c r="N35" s="51">
        <f t="shared" si="5"/>
        <v>0.06376713453</v>
      </c>
      <c r="O35" s="51">
        <f t="shared" si="6"/>
        <v>0.0607702457</v>
      </c>
      <c r="P35" s="52" t="str">
        <f>IFERROR(__xludf.DUMMYFUNCTION(" SUBSTITUTE(ImportHTML(CONCATENATE(""http://iss.moex.com/iss/engines/stock/markets/shares/boards/TQBR/securities.html?securities="", C35,""&amp;marketdata.columns=LAST&amp;iss.meta=off&amp;iss.only=marketdata""),""table"",1), ""."", "","")"),"220,64")</f>
        <v>220,64</v>
      </c>
      <c r="Q35" s="52">
        <f t="shared" si="7"/>
        <v>4412.8</v>
      </c>
      <c r="R35" s="41">
        <f t="shared" si="8"/>
        <v>-0.03061692125</v>
      </c>
      <c r="S35" s="53">
        <f t="shared" si="9"/>
        <v>-0.02917800589</v>
      </c>
      <c r="T35" s="75"/>
      <c r="U35" s="75"/>
      <c r="V35" s="75"/>
      <c r="W35" s="57">
        <f t="shared" si="10"/>
        <v>383</v>
      </c>
      <c r="X35" s="27">
        <f t="shared" si="11"/>
        <v>0.00563959855</v>
      </c>
    </row>
    <row r="36">
      <c r="B36" s="42">
        <v>44230.0</v>
      </c>
      <c r="C36" s="65" t="str">
        <f>HYPERLINK("https://ru.investing.com/equities/tatneft-p_rts","TATNP")</f>
        <v>TATNP</v>
      </c>
      <c r="D36" s="44" t="s">
        <v>21</v>
      </c>
      <c r="E36" s="44" t="s">
        <v>28</v>
      </c>
      <c r="F36" s="44">
        <v>467.2</v>
      </c>
      <c r="G36" s="44">
        <v>17.0</v>
      </c>
      <c r="H36" s="45">
        <f t="shared" si="3"/>
        <v>7942.4</v>
      </c>
      <c r="I36" s="90">
        <v>23.83</v>
      </c>
      <c r="J36" s="47">
        <f> 209.1 + 280.84</f>
        <v>489.94</v>
      </c>
      <c r="K36" s="48"/>
      <c r="L36" s="49">
        <f> 27.17 + 36.49</f>
        <v>63.66</v>
      </c>
      <c r="M36" s="50">
        <f t="shared" si="4"/>
        <v>402.45</v>
      </c>
      <c r="N36" s="51">
        <f t="shared" si="5"/>
        <v>0.05067108179</v>
      </c>
      <c r="O36" s="51">
        <f t="shared" si="6"/>
        <v>0.04828967325</v>
      </c>
      <c r="P36" s="52" t="str">
        <f>IFERROR(__xludf.DUMMYFUNCTION(" SUBSTITUTE(ImportHTML(CONCATENATE(""http://iss.moex.com/iss/engines/stock/markets/shares/boards/TQBR/securities.html?securities="", C36,""&amp;marketdata.columns=LAST&amp;iss.meta=off&amp;iss.only=marketdata""),""table"",1), ""."", "","")"),"407,6")</f>
        <v>407,6</v>
      </c>
      <c r="Q36" s="52">
        <f t="shared" si="7"/>
        <v>6929.2</v>
      </c>
      <c r="R36" s="41">
        <f t="shared" si="8"/>
        <v>-0.07666738219</v>
      </c>
      <c r="S36" s="53">
        <f t="shared" si="9"/>
        <v>-0.0730642154</v>
      </c>
      <c r="T36" s="61"/>
      <c r="U36" s="61"/>
      <c r="V36" s="61"/>
      <c r="W36" s="57">
        <f t="shared" si="10"/>
        <v>383</v>
      </c>
      <c r="X36" s="27">
        <f t="shared" si="11"/>
        <v>0.009191485578</v>
      </c>
    </row>
    <row r="37">
      <c r="B37" s="64">
        <v>44251.0</v>
      </c>
      <c r="C37" s="81" t="s">
        <v>39</v>
      </c>
      <c r="D37" s="66" t="s">
        <v>22</v>
      </c>
      <c r="E37" s="66" t="s">
        <v>32</v>
      </c>
      <c r="F37" s="82">
        <f> 120.12 * 73.81</f>
        <v>8866.0572</v>
      </c>
      <c r="G37" s="66">
        <v>2.0</v>
      </c>
      <c r="H37" s="83">
        <f t="shared" si="3"/>
        <v>17732.1144</v>
      </c>
      <c r="I37" s="67">
        <f> 0.72 * 73.81</f>
        <v>53.1432</v>
      </c>
      <c r="J37" s="84">
        <f> 2.95 * 72.17 + 2.95 * 72.38</f>
        <v>426.4225</v>
      </c>
      <c r="K37" s="59"/>
      <c r="L37" s="74"/>
      <c r="M37" s="50">
        <f t="shared" si="4"/>
        <v>373.2793</v>
      </c>
      <c r="N37" s="38">
        <f t="shared" si="5"/>
        <v>0.02105103157</v>
      </c>
      <c r="O37" s="38">
        <f t="shared" si="6"/>
        <v>0.02122548763</v>
      </c>
      <c r="P37" s="85">
        <f>IFERROR(__xludf.DUMMYFUNCTION("googlefinance(C37) * GoogleFinance(""Currency:USDRUB"")"),9728.8953)</f>
        <v>9728.8953</v>
      </c>
      <c r="Q37" s="85">
        <f t="shared" si="7"/>
        <v>19457.7906</v>
      </c>
      <c r="R37" s="41">
        <f t="shared" si="8"/>
        <v>0.1180165926</v>
      </c>
      <c r="S37" s="60">
        <f t="shared" si="9"/>
        <v>0.1189946306</v>
      </c>
      <c r="T37" s="83">
        <f t="shared" ref="T37:V37" si="18">Q37</f>
        <v>19457.7906</v>
      </c>
      <c r="U37" s="38">
        <f t="shared" si="18"/>
        <v>0.1180165926</v>
      </c>
      <c r="V37" s="38">
        <f t="shared" si="18"/>
        <v>0.1189946306</v>
      </c>
      <c r="W37" s="57">
        <f t="shared" si="10"/>
        <v>362</v>
      </c>
      <c r="X37" s="27">
        <f t="shared" si="11"/>
        <v>0.02052080905</v>
      </c>
    </row>
    <row r="38">
      <c r="B38" s="64">
        <v>44272.0</v>
      </c>
      <c r="C38" s="81" t="s">
        <v>40</v>
      </c>
      <c r="D38" s="66" t="s">
        <v>22</v>
      </c>
      <c r="E38" s="66" t="s">
        <v>38</v>
      </c>
      <c r="F38" s="82">
        <f> 88.4 * 73.08</f>
        <v>6460.272</v>
      </c>
      <c r="G38" s="66">
        <v>3.0</v>
      </c>
      <c r="H38" s="83">
        <f t="shared" si="3"/>
        <v>19380.816</v>
      </c>
      <c r="I38" s="67">
        <f> 0.81 * 73.08</f>
        <v>59.1948</v>
      </c>
      <c r="J38" s="84">
        <f> (3.42 + 0.16) * 74.9511 + 3.58*73.15 + 3.73*71.5</f>
        <v>796.896938</v>
      </c>
      <c r="K38" s="59"/>
      <c r="L38" s="74"/>
      <c r="M38" s="50">
        <f t="shared" si="4"/>
        <v>737.702138</v>
      </c>
      <c r="N38" s="38">
        <f t="shared" si="5"/>
        <v>0.03806352313</v>
      </c>
      <c r="O38" s="38">
        <f t="shared" si="6"/>
        <v>0.04074248076</v>
      </c>
      <c r="P38" s="85">
        <f>IFERROR(__xludf.DUMMYFUNCTION("googlefinance(C38) * GoogleFinance(""Currency:USDRUB"")"),8732.14318)</f>
        <v>8732.14318</v>
      </c>
      <c r="Q38" s="85">
        <f t="shared" si="7"/>
        <v>26196.42954</v>
      </c>
      <c r="R38" s="41">
        <f t="shared" si="8"/>
        <v>0.3885448293</v>
      </c>
      <c r="S38" s="60">
        <f t="shared" si="9"/>
        <v>0.415891093</v>
      </c>
      <c r="T38" s="83">
        <f t="shared" ref="T38:V38" si="19">Q38</f>
        <v>26196.42954</v>
      </c>
      <c r="U38" s="38">
        <f t="shared" si="19"/>
        <v>0.3885448293</v>
      </c>
      <c r="V38" s="38">
        <f t="shared" si="19"/>
        <v>0.415891093</v>
      </c>
      <c r="W38" s="57">
        <f t="shared" si="10"/>
        <v>341</v>
      </c>
      <c r="X38" s="27">
        <f t="shared" si="11"/>
        <v>0.0224287987</v>
      </c>
    </row>
    <row r="39">
      <c r="B39" s="64">
        <v>44293.0</v>
      </c>
      <c r="C39" s="81" t="s">
        <v>31</v>
      </c>
      <c r="D39" s="66" t="s">
        <v>22</v>
      </c>
      <c r="E39" s="66" t="s">
        <v>32</v>
      </c>
      <c r="F39" s="82">
        <f> 30.93 * 77.63</f>
        <v>2401.0959</v>
      </c>
      <c r="G39" s="66">
        <v>1.0</v>
      </c>
      <c r="H39" s="83">
        <f t="shared" si="3"/>
        <v>2401.0959</v>
      </c>
      <c r="I39" s="67">
        <f> 0.09 * 77.63</f>
        <v>6.9867</v>
      </c>
      <c r="J39" s="84">
        <f> (0.47 * 74.5) +  (0.47 * 73.5) +  (0.47 * 71.26)</f>
        <v>103.0522</v>
      </c>
      <c r="K39" s="59"/>
      <c r="L39" s="78"/>
      <c r="M39" s="50">
        <f t="shared" si="4"/>
        <v>96.0655</v>
      </c>
      <c r="N39" s="38">
        <f t="shared" si="5"/>
        <v>0.04000902255</v>
      </c>
      <c r="O39" s="38">
        <f t="shared" si="6"/>
        <v>0.04563529134</v>
      </c>
      <c r="P39" s="85">
        <f>IFERROR(__xludf.DUMMYFUNCTION("googlefinance(C39) * GoogleFinance(""Currency:USDRUB"")"),1867.54106)</f>
        <v>1867.54106</v>
      </c>
      <c r="Q39" s="85">
        <f t="shared" si="7"/>
        <v>1867.54106</v>
      </c>
      <c r="R39" s="41">
        <f t="shared" si="8"/>
        <v>-0.1816753877</v>
      </c>
      <c r="S39" s="41">
        <f t="shared" si="9"/>
        <v>-0.2072234891</v>
      </c>
      <c r="T39" s="86">
        <f>SUM(Q39:Q42)</f>
        <v>47369.18974</v>
      </c>
      <c r="U39" s="70">
        <f>(SUM(Q39:Q42) + SUM(M39:M42) - SUM(H39:H42))/SUM(H39:H42)</f>
        <v>0.1915394706</v>
      </c>
      <c r="V39" s="70">
        <f>U39/(TODAY()-B39)*365</f>
        <v>0.2184747086</v>
      </c>
      <c r="W39" s="57">
        <f t="shared" si="10"/>
        <v>320</v>
      </c>
      <c r="X39" s="27">
        <f t="shared" si="11"/>
        <v>0.002778711515</v>
      </c>
    </row>
    <row r="40">
      <c r="B40" s="64">
        <v>44293.0</v>
      </c>
      <c r="C40" s="81" t="s">
        <v>40</v>
      </c>
      <c r="D40" s="66" t="s">
        <v>22</v>
      </c>
      <c r="E40" s="66" t="s">
        <v>38</v>
      </c>
      <c r="F40" s="82">
        <f> 88.87 * 77.63</f>
        <v>6898.9781</v>
      </c>
      <c r="G40" s="66">
        <v>3.0</v>
      </c>
      <c r="H40" s="83">
        <f t="shared" si="3"/>
        <v>20696.9343</v>
      </c>
      <c r="I40" s="67">
        <f> 0.8 * 77.63</f>
        <v>62.104</v>
      </c>
      <c r="J40" s="84">
        <f> 3.58*73.15 + 3.73*71.5</f>
        <v>528.572</v>
      </c>
      <c r="K40" s="59"/>
      <c r="L40" s="78"/>
      <c r="M40" s="50">
        <f t="shared" si="4"/>
        <v>466.468</v>
      </c>
      <c r="N40" s="38">
        <f t="shared" si="5"/>
        <v>0.0225380239</v>
      </c>
      <c r="O40" s="38">
        <f t="shared" si="6"/>
        <v>0.02570743352</v>
      </c>
      <c r="P40" s="85">
        <f>IFERROR(__xludf.DUMMYFUNCTION("googlefinance(C40) * GoogleFinance(""Currency:USDRUB"")"),8732.14318)</f>
        <v>8732.14318</v>
      </c>
      <c r="Q40" s="85">
        <f t="shared" si="7"/>
        <v>26196.42954</v>
      </c>
      <c r="R40" s="41">
        <f t="shared" si="8"/>
        <v>0.2873911187</v>
      </c>
      <c r="S40" s="41">
        <f t="shared" si="9"/>
        <v>0.3278054948</v>
      </c>
      <c r="T40" s="75"/>
      <c r="U40" s="75"/>
      <c r="V40" s="75"/>
      <c r="W40" s="57">
        <f t="shared" si="10"/>
        <v>320</v>
      </c>
      <c r="X40" s="27">
        <f t="shared" si="11"/>
        <v>0.02395190032</v>
      </c>
    </row>
    <row r="41">
      <c r="B41" s="64">
        <v>44293.0</v>
      </c>
      <c r="C41" s="81" t="s">
        <v>35</v>
      </c>
      <c r="D41" s="66" t="s">
        <v>22</v>
      </c>
      <c r="E41" s="66" t="s">
        <v>36</v>
      </c>
      <c r="F41" s="82">
        <f> 105.59 * 77.63</f>
        <v>8196.9517</v>
      </c>
      <c r="G41" s="66">
        <v>1.0</v>
      </c>
      <c r="H41" s="83">
        <f t="shared" si="3"/>
        <v>8196.9517</v>
      </c>
      <c r="I41" s="67">
        <f> 0.32 * 77.63</f>
        <v>24.8416</v>
      </c>
      <c r="J41" s="92">
        <f> 1.17 * 73.72 + 1.17 * 74.02</f>
        <v>172.8558</v>
      </c>
      <c r="K41" s="59"/>
      <c r="L41" s="78"/>
      <c r="M41" s="50">
        <f t="shared" si="4"/>
        <v>148.0142</v>
      </c>
      <c r="N41" s="38">
        <f t="shared" si="5"/>
        <v>0.01805722486</v>
      </c>
      <c r="O41" s="38">
        <f t="shared" si="6"/>
        <v>0.0205965221</v>
      </c>
      <c r="P41" s="85">
        <f>IFERROR(__xludf.DUMMYFUNCTION("googlefinance(C41) * GoogleFinance(""Currency:USDRUB"")"),11268.61914)</f>
        <v>11268.61914</v>
      </c>
      <c r="Q41" s="85">
        <f t="shared" si="7"/>
        <v>11268.61914</v>
      </c>
      <c r="R41" s="41">
        <f t="shared" si="8"/>
        <v>0.3916033306</v>
      </c>
      <c r="S41" s="41">
        <f t="shared" si="9"/>
        <v>0.446672549</v>
      </c>
      <c r="T41" s="75"/>
      <c r="U41" s="75"/>
      <c r="V41" s="75"/>
      <c r="W41" s="57">
        <f t="shared" si="10"/>
        <v>320</v>
      </c>
      <c r="X41" s="27">
        <f t="shared" si="11"/>
        <v>0.009486070122</v>
      </c>
    </row>
    <row r="42">
      <c r="B42" s="64">
        <v>44293.0</v>
      </c>
      <c r="C42" s="65" t="str">
        <f>HYPERLINK("https://ru.investing.com/equities/lsr-group_rts","LSRG")</f>
        <v>LSRG</v>
      </c>
      <c r="D42" s="66" t="s">
        <v>21</v>
      </c>
      <c r="E42" s="66" t="s">
        <v>27</v>
      </c>
      <c r="F42" s="82">
        <v>849.6</v>
      </c>
      <c r="G42" s="66">
        <v>11.0</v>
      </c>
      <c r="H42" s="83">
        <f t="shared" si="3"/>
        <v>9345.6</v>
      </c>
      <c r="I42" s="67">
        <v>28.03</v>
      </c>
      <c r="J42" s="68">
        <f> 429</f>
        <v>429</v>
      </c>
      <c r="K42" s="59"/>
      <c r="L42" s="69">
        <f> 55.85</f>
        <v>55.85</v>
      </c>
      <c r="M42" s="50">
        <f t="shared" si="4"/>
        <v>345.12</v>
      </c>
      <c r="N42" s="38">
        <f t="shared" si="5"/>
        <v>0.03692860812</v>
      </c>
      <c r="O42" s="38">
        <f t="shared" si="6"/>
        <v>0.04212169363</v>
      </c>
      <c r="P42" s="52" t="str">
        <f>IFERROR(__xludf.DUMMYFUNCTION(" SUBSTITUTE(ImportHTML(CONCATENATE(""http://iss.moex.com/iss/engines/stock/markets/shares/boards/TQBR/securities.html?securities="", C42,""&amp;marketdata.columns=LAST&amp;iss.meta=off&amp;iss.only=marketdata""),""table"",1), ""."", "","")"),"730,6")</f>
        <v>730,6</v>
      </c>
      <c r="Q42" s="85">
        <f t="shared" si="7"/>
        <v>8036.6</v>
      </c>
      <c r="R42" s="41">
        <f t="shared" si="8"/>
        <v>-0.1028288934</v>
      </c>
      <c r="S42" s="41">
        <f t="shared" si="9"/>
        <v>-0.1172892065</v>
      </c>
      <c r="T42" s="61"/>
      <c r="U42" s="61"/>
      <c r="V42" s="61"/>
      <c r="W42" s="57">
        <f t="shared" si="10"/>
        <v>320</v>
      </c>
      <c r="X42" s="27">
        <f t="shared" si="11"/>
        <v>0.01081536407</v>
      </c>
    </row>
    <row r="43">
      <c r="B43" s="64">
        <v>44307.0</v>
      </c>
      <c r="C43" s="81" t="s">
        <v>31</v>
      </c>
      <c r="D43" s="66" t="s">
        <v>22</v>
      </c>
      <c r="E43" s="66" t="s">
        <v>32</v>
      </c>
      <c r="F43" s="82">
        <f> 29.91 * 76.725</f>
        <v>2294.84475</v>
      </c>
      <c r="G43" s="66">
        <v>2.0</v>
      </c>
      <c r="H43" s="83">
        <f t="shared" si="3"/>
        <v>4589.6895</v>
      </c>
      <c r="I43" s="67">
        <f> 0.18 * 76.725</f>
        <v>13.8105</v>
      </c>
      <c r="J43" s="84">
        <f> 0.94*73.5 + 0.94*71.26</f>
        <v>136.0744</v>
      </c>
      <c r="K43" s="59"/>
      <c r="L43" s="74"/>
      <c r="M43" s="50">
        <f t="shared" si="4"/>
        <v>122.2639</v>
      </c>
      <c r="N43" s="38">
        <f t="shared" si="5"/>
        <v>0.02663881729</v>
      </c>
      <c r="O43" s="38">
        <f t="shared" si="6"/>
        <v>0.03177505984</v>
      </c>
      <c r="P43" s="85">
        <f>IFERROR(__xludf.DUMMYFUNCTION("googlefinance(C43) * GoogleFinance(""Currency:USDRUB"")"),1867.54106)</f>
        <v>1867.54106</v>
      </c>
      <c r="Q43" s="85">
        <f t="shared" si="7"/>
        <v>3735.08212</v>
      </c>
      <c r="R43" s="41">
        <f t="shared" si="8"/>
        <v>-0.1590840621</v>
      </c>
      <c r="S43" s="41">
        <f t="shared" si="9"/>
        <v>-0.1897571329</v>
      </c>
      <c r="T43" s="93">
        <f>Q43+Q44+Q45</f>
        <v>14680.57832</v>
      </c>
      <c r="U43" s="70">
        <f>(SUM(Q43:Q45) + SUM(M43:M45) - SUM(H43:H45))/SUM(H43:H45)</f>
        <v>0.150657952</v>
      </c>
      <c r="V43" s="71">
        <f>U43/(TODAY()-B43)*365</f>
        <v>0.1797063806</v>
      </c>
      <c r="W43" s="57">
        <f t="shared" si="10"/>
        <v>306</v>
      </c>
      <c r="X43" s="27">
        <f t="shared" si="11"/>
        <v>0.005311500913</v>
      </c>
    </row>
    <row r="44">
      <c r="B44" s="64">
        <v>44307.0</v>
      </c>
      <c r="C44" s="81" t="s">
        <v>37</v>
      </c>
      <c r="D44" s="66" t="s">
        <v>22</v>
      </c>
      <c r="E44" s="66" t="s">
        <v>38</v>
      </c>
      <c r="F44" s="82">
        <f> 54.23 * 76.725</f>
        <v>4160.79675</v>
      </c>
      <c r="G44" s="66">
        <v>1.0</v>
      </c>
      <c r="H44" s="83">
        <f t="shared" si="3"/>
        <v>4160.79675</v>
      </c>
      <c r="I44" s="67">
        <f> 0.16 * 76.725</f>
        <v>12.276</v>
      </c>
      <c r="J44" s="84">
        <f> 0.38 * 73.96 + 0.38 * 72.03</f>
        <v>55.4762</v>
      </c>
      <c r="K44" s="59"/>
      <c r="L44" s="74"/>
      <c r="M44" s="50">
        <f t="shared" si="4"/>
        <v>43.2002</v>
      </c>
      <c r="N44" s="38">
        <f t="shared" si="5"/>
        <v>0.0103826749</v>
      </c>
      <c r="O44" s="38">
        <f t="shared" si="6"/>
        <v>0.0123845632</v>
      </c>
      <c r="P44" s="85">
        <f>IFERROR(__xludf.DUMMYFUNCTION("googlefinance(C44) * GoogleFinance(""Currency:USDRUB"")"),4893.0045199999995)</f>
        <v>4893.00452</v>
      </c>
      <c r="Q44" s="85">
        <f t="shared" si="7"/>
        <v>4893.00452</v>
      </c>
      <c r="R44" s="41">
        <f t="shared" si="8"/>
        <v>0.1858122339</v>
      </c>
      <c r="S44" s="41">
        <f t="shared" si="9"/>
        <v>0.2216387758</v>
      </c>
      <c r="T44" s="75"/>
      <c r="U44" s="75"/>
      <c r="V44" s="75"/>
      <c r="W44" s="57">
        <f t="shared" si="10"/>
        <v>306</v>
      </c>
      <c r="X44" s="27">
        <f t="shared" si="11"/>
        <v>0.004815157046</v>
      </c>
    </row>
    <row r="45">
      <c r="B45" s="64">
        <v>44307.0</v>
      </c>
      <c r="C45" s="81" t="s">
        <v>33</v>
      </c>
      <c r="D45" s="66" t="s">
        <v>22</v>
      </c>
      <c r="E45" s="66" t="s">
        <v>28</v>
      </c>
      <c r="F45" s="82">
        <f> 55.25 * 76.725</f>
        <v>4239.05625</v>
      </c>
      <c r="G45" s="66">
        <v>1.0</v>
      </c>
      <c r="H45" s="83">
        <f t="shared" si="3"/>
        <v>4239.05625</v>
      </c>
      <c r="I45" s="67">
        <f> 0.17 * 76.725</f>
        <v>13.04325</v>
      </c>
      <c r="J45" s="84">
        <f> 0.78 * 72.77 + 0.78 * 72.77</f>
        <v>113.5212</v>
      </c>
      <c r="K45" s="59"/>
      <c r="L45" s="78"/>
      <c r="M45" s="50">
        <f t="shared" si="4"/>
        <v>100.47795</v>
      </c>
      <c r="N45" s="38">
        <f t="shared" si="5"/>
        <v>0.02370290557</v>
      </c>
      <c r="O45" s="38">
        <f t="shared" si="6"/>
        <v>0.02827307364</v>
      </c>
      <c r="P45" s="85">
        <f>IFERROR(__xludf.DUMMYFUNCTION("googlefinance(C45) * GoogleFinance(""Currency:USDRUB"")"),6052.49168)</f>
        <v>6052.49168</v>
      </c>
      <c r="Q45" s="85">
        <f t="shared" si="7"/>
        <v>6052.49168</v>
      </c>
      <c r="R45" s="41">
        <f t="shared" si="8"/>
        <v>0.4501102056</v>
      </c>
      <c r="S45" s="41">
        <f t="shared" si="9"/>
        <v>0.5368961602</v>
      </c>
      <c r="T45" s="61"/>
      <c r="U45" s="61"/>
      <c r="V45" s="61"/>
      <c r="W45" s="57">
        <f t="shared" si="10"/>
        <v>306</v>
      </c>
      <c r="X45" s="27">
        <f t="shared" si="11"/>
        <v>0.004905724263</v>
      </c>
    </row>
    <row r="46">
      <c r="B46" s="64">
        <v>44321.0</v>
      </c>
      <c r="C46" s="81" t="s">
        <v>31</v>
      </c>
      <c r="D46" s="66" t="s">
        <v>22</v>
      </c>
      <c r="E46" s="66" t="s">
        <v>32</v>
      </c>
      <c r="F46" s="82">
        <f> 31.96 * 74.82</f>
        <v>2391.2472</v>
      </c>
      <c r="G46" s="66">
        <v>1.0</v>
      </c>
      <c r="H46" s="83">
        <f t="shared" si="3"/>
        <v>2391.2472</v>
      </c>
      <c r="I46" s="67">
        <f> 0.1 * 74.82</f>
        <v>7.482</v>
      </c>
      <c r="J46" s="84">
        <f> 0.47*73.5 + 0.47*71.26</f>
        <v>68.0372</v>
      </c>
      <c r="K46" s="59"/>
      <c r="L46" s="78"/>
      <c r="M46" s="50">
        <f t="shared" si="4"/>
        <v>60.5552</v>
      </c>
      <c r="N46" s="38">
        <f t="shared" si="5"/>
        <v>0.02532368883</v>
      </c>
      <c r="O46" s="38">
        <f t="shared" si="6"/>
        <v>0.03165461103</v>
      </c>
      <c r="P46" s="85">
        <f>IFERROR(__xludf.DUMMYFUNCTION("googlefinance(C46) * GoogleFinance(""Currency:USDRUB"")"),1867.54106)</f>
        <v>1867.54106</v>
      </c>
      <c r="Q46" s="85">
        <f t="shared" si="7"/>
        <v>1867.54106</v>
      </c>
      <c r="R46" s="41">
        <f t="shared" si="8"/>
        <v>-0.1930817951</v>
      </c>
      <c r="S46" s="41">
        <f t="shared" si="9"/>
        <v>-0.2413522439</v>
      </c>
      <c r="T46" s="86">
        <f>SUM(Q46:Q50)</f>
        <v>36490.2032</v>
      </c>
      <c r="U46" s="70">
        <f>(SUM(Q46:Q50) + SUM(M46:M50) - SUM(H46:H50))/SUM(H46:H50)</f>
        <v>0.1193456065</v>
      </c>
      <c r="V46" s="70">
        <f>U46/(TODAY()-B46)*365</f>
        <v>0.1491820082</v>
      </c>
      <c r="W46" s="57">
        <f t="shared" si="10"/>
        <v>292</v>
      </c>
      <c r="X46" s="27">
        <f t="shared" si="11"/>
        <v>0.002767313929</v>
      </c>
    </row>
    <row r="47">
      <c r="B47" s="64">
        <v>44321.0</v>
      </c>
      <c r="C47" s="81" t="s">
        <v>40</v>
      </c>
      <c r="D47" s="66" t="s">
        <v>22</v>
      </c>
      <c r="E47" s="66" t="s">
        <v>38</v>
      </c>
      <c r="F47" s="82">
        <f> 95.28 * 74.82</f>
        <v>7128.8496</v>
      </c>
      <c r="G47" s="66">
        <v>1.0</v>
      </c>
      <c r="H47" s="83">
        <f t="shared" si="3"/>
        <v>7128.8496</v>
      </c>
      <c r="I47" s="67">
        <f> 0.29 * 74.82</f>
        <v>21.6978</v>
      </c>
      <c r="J47" s="84">
        <f> 1.19*73.15 + 1.24*71.5</f>
        <v>175.7085</v>
      </c>
      <c r="K47" s="59"/>
      <c r="L47" s="78"/>
      <c r="M47" s="50">
        <f t="shared" si="4"/>
        <v>154.0107</v>
      </c>
      <c r="N47" s="38">
        <f t="shared" si="5"/>
        <v>0.02160386439</v>
      </c>
      <c r="O47" s="38">
        <f t="shared" si="6"/>
        <v>0.02700483048</v>
      </c>
      <c r="P47" s="85">
        <f>IFERROR(__xludf.DUMMYFUNCTION("googlefinance(C47) * GoogleFinance(""Currency:USDRUB"")"),8732.14318)</f>
        <v>8732.14318</v>
      </c>
      <c r="Q47" s="85">
        <f t="shared" si="7"/>
        <v>8732.14318</v>
      </c>
      <c r="R47" s="41">
        <f t="shared" si="8"/>
        <v>0.2457580073</v>
      </c>
      <c r="S47" s="41">
        <f t="shared" si="9"/>
        <v>0.3071975091</v>
      </c>
      <c r="T47" s="75"/>
      <c r="U47" s="75"/>
      <c r="V47" s="75"/>
      <c r="W47" s="57">
        <f t="shared" si="10"/>
        <v>292</v>
      </c>
      <c r="X47" s="27">
        <f t="shared" si="11"/>
        <v>0.008249989712</v>
      </c>
    </row>
    <row r="48">
      <c r="B48" s="64">
        <v>44321.0</v>
      </c>
      <c r="C48" s="81" t="s">
        <v>35</v>
      </c>
      <c r="D48" s="66" t="s">
        <v>22</v>
      </c>
      <c r="E48" s="66" t="s">
        <v>36</v>
      </c>
      <c r="F48" s="82">
        <f> 114.21 * 74.82</f>
        <v>8545.1922</v>
      </c>
      <c r="G48" s="66">
        <v>1.0</v>
      </c>
      <c r="H48" s="83">
        <f t="shared" si="3"/>
        <v>8545.1922</v>
      </c>
      <c r="I48" s="67">
        <f> 0.34 * 74.82</f>
        <v>25.4388</v>
      </c>
      <c r="J48" s="92">
        <f> 1.17 * 74.02</f>
        <v>86.6034</v>
      </c>
      <c r="K48" s="59"/>
      <c r="L48" s="78"/>
      <c r="M48" s="50">
        <f t="shared" si="4"/>
        <v>61.1646</v>
      </c>
      <c r="N48" s="38">
        <f t="shared" si="5"/>
        <v>0.007157779318</v>
      </c>
      <c r="O48" s="38">
        <f t="shared" si="6"/>
        <v>0.008947224148</v>
      </c>
      <c r="P48" s="85">
        <f>IFERROR(__xludf.DUMMYFUNCTION("googlefinance(C48) * GoogleFinance(""Currency:USDRUB"")"),11268.61914)</f>
        <v>11268.61914</v>
      </c>
      <c r="Q48" s="85">
        <f t="shared" si="7"/>
        <v>11268.61914</v>
      </c>
      <c r="R48" s="41">
        <f t="shared" si="8"/>
        <v>0.3248992449</v>
      </c>
      <c r="S48" s="41">
        <f t="shared" si="9"/>
        <v>0.4061240561</v>
      </c>
      <c r="T48" s="75"/>
      <c r="U48" s="75"/>
      <c r="V48" s="75"/>
      <c r="W48" s="57">
        <f t="shared" si="10"/>
        <v>292</v>
      </c>
      <c r="X48" s="27">
        <f t="shared" si="11"/>
        <v>0.009889077718</v>
      </c>
    </row>
    <row r="49">
      <c r="B49" s="64">
        <v>44321.0</v>
      </c>
      <c r="C49" s="81" t="s">
        <v>37</v>
      </c>
      <c r="D49" s="66" t="s">
        <v>22</v>
      </c>
      <c r="E49" s="66" t="s">
        <v>38</v>
      </c>
      <c r="F49" s="82">
        <f> 54.11 * 74.82</f>
        <v>4048.5102</v>
      </c>
      <c r="G49" s="66">
        <v>1.0</v>
      </c>
      <c r="H49" s="83">
        <f t="shared" si="3"/>
        <v>4048.5102</v>
      </c>
      <c r="I49" s="67">
        <f> 0.16 * 74.82</f>
        <v>11.9712</v>
      </c>
      <c r="J49" s="84">
        <f> 0.38 * 73.96 + 0.38 * 72.03</f>
        <v>55.4762</v>
      </c>
      <c r="K49" s="59"/>
      <c r="L49" s="74"/>
      <c r="M49" s="50">
        <f t="shared" si="4"/>
        <v>43.505</v>
      </c>
      <c r="N49" s="38">
        <f t="shared" si="5"/>
        <v>0.01074592822</v>
      </c>
      <c r="O49" s="38">
        <f t="shared" si="6"/>
        <v>0.01343241027</v>
      </c>
      <c r="P49" s="85">
        <f>IFERROR(__xludf.DUMMYFUNCTION("googlefinance(C49) * GoogleFinance(""Currency:USDRUB"")"),4893.0045199999995)</f>
        <v>4893.00452</v>
      </c>
      <c r="Q49" s="85">
        <f t="shared" si="7"/>
        <v>4893.00452</v>
      </c>
      <c r="R49" s="41">
        <f t="shared" si="8"/>
        <v>0.2186931136</v>
      </c>
      <c r="S49" s="41">
        <f t="shared" si="9"/>
        <v>0.273366392</v>
      </c>
      <c r="T49" s="75"/>
      <c r="U49" s="75"/>
      <c r="V49" s="75"/>
      <c r="W49" s="57">
        <f t="shared" si="10"/>
        <v>292</v>
      </c>
      <c r="X49" s="27">
        <f t="shared" si="11"/>
        <v>0.004685211412</v>
      </c>
    </row>
    <row r="50">
      <c r="B50" s="64">
        <v>44321.0</v>
      </c>
      <c r="C50" s="81" t="s">
        <v>39</v>
      </c>
      <c r="D50" s="66" t="s">
        <v>22</v>
      </c>
      <c r="E50" s="66" t="s">
        <v>32</v>
      </c>
      <c r="F50" s="82">
        <f> 146.12 * 74.82</f>
        <v>10932.6984</v>
      </c>
      <c r="G50" s="66">
        <v>1.0</v>
      </c>
      <c r="H50" s="83">
        <f t="shared" si="3"/>
        <v>10932.6984</v>
      </c>
      <c r="I50" s="67">
        <f> 0.44 * 74.82</f>
        <v>32.9208</v>
      </c>
      <c r="J50" s="84">
        <f> 1.48 * 72.17 + 1.48 * 72.38</f>
        <v>213.934</v>
      </c>
      <c r="K50" s="59"/>
      <c r="L50" s="74"/>
      <c r="M50" s="50">
        <f t="shared" si="4"/>
        <v>181.0132</v>
      </c>
      <c r="N50" s="38">
        <f t="shared" si="5"/>
        <v>0.01655704689</v>
      </c>
      <c r="O50" s="38">
        <f t="shared" si="6"/>
        <v>0.02069630861</v>
      </c>
      <c r="P50" s="85">
        <f>IFERROR(__xludf.DUMMYFUNCTION("googlefinance(C50) * GoogleFinance(""Currency:USDRUB"")"),9728.8953)</f>
        <v>9728.8953</v>
      </c>
      <c r="Q50" s="85">
        <f t="shared" si="7"/>
        <v>9728.8953</v>
      </c>
      <c r="R50" s="41">
        <f t="shared" si="8"/>
        <v>-0.09327242551</v>
      </c>
      <c r="S50" s="41">
        <f t="shared" si="9"/>
        <v>-0.1165905319</v>
      </c>
      <c r="T50" s="61"/>
      <c r="U50" s="61"/>
      <c r="V50" s="61"/>
      <c r="W50" s="57">
        <f t="shared" si="10"/>
        <v>292</v>
      </c>
      <c r="X50" s="27">
        <f t="shared" si="11"/>
        <v>0.01265206231</v>
      </c>
    </row>
    <row r="51">
      <c r="B51" s="64">
        <v>44335.0</v>
      </c>
      <c r="C51" s="81" t="s">
        <v>41</v>
      </c>
      <c r="D51" s="66" t="s">
        <v>22</v>
      </c>
      <c r="E51" s="66" t="s">
        <v>25</v>
      </c>
      <c r="F51" s="82">
        <f> 15.66 * 73.72</f>
        <v>1154.4552</v>
      </c>
      <c r="G51" s="66">
        <v>10.0</v>
      </c>
      <c r="H51" s="83">
        <f t="shared" si="3"/>
        <v>11544.552</v>
      </c>
      <c r="I51" s="67">
        <f> 0.46 * 73.72</f>
        <v>33.9112</v>
      </c>
      <c r="J51" s="84">
        <f> 1.35 * 72.9 + 1.35 * 72.3</f>
        <v>196.02</v>
      </c>
      <c r="K51" s="59"/>
      <c r="L51" s="74"/>
      <c r="M51" s="50">
        <f t="shared" si="4"/>
        <v>162.1088</v>
      </c>
      <c r="N51" s="38">
        <f t="shared" si="5"/>
        <v>0.01404201739</v>
      </c>
      <c r="O51" s="38">
        <f t="shared" si="6"/>
        <v>0.01843646169</v>
      </c>
      <c r="P51" s="85">
        <f>IFERROR(__xludf.DUMMYFUNCTION("googlefinance(C51) * GoogleFinance(""Currency:USDRUB"")"),1240.0723)</f>
        <v>1240.0723</v>
      </c>
      <c r="Q51" s="85">
        <f t="shared" si="7"/>
        <v>12400.723</v>
      </c>
      <c r="R51" s="41">
        <f t="shared" si="8"/>
        <v>0.08794602379</v>
      </c>
      <c r="S51" s="60">
        <f t="shared" si="9"/>
        <v>0.1154687003</v>
      </c>
      <c r="T51" s="83">
        <f t="shared" ref="T51:V51" si="20">Q51</f>
        <v>12400.723</v>
      </c>
      <c r="U51" s="38">
        <f t="shared" si="20"/>
        <v>0.08794602379</v>
      </c>
      <c r="V51" s="38">
        <f t="shared" si="20"/>
        <v>0.1154687003</v>
      </c>
      <c r="W51" s="57">
        <f t="shared" si="10"/>
        <v>278</v>
      </c>
      <c r="X51" s="27">
        <f t="shared" si="11"/>
        <v>0.01336014092</v>
      </c>
    </row>
    <row r="52">
      <c r="B52" s="64">
        <v>44349.0</v>
      </c>
      <c r="C52" s="81" t="s">
        <v>41</v>
      </c>
      <c r="D52" s="66" t="s">
        <v>22</v>
      </c>
      <c r="E52" s="66" t="s">
        <v>25</v>
      </c>
      <c r="F52" s="82">
        <f> 16.11 * 73.58</f>
        <v>1185.3738</v>
      </c>
      <c r="G52" s="66">
        <v>16.0</v>
      </c>
      <c r="H52" s="83">
        <f t="shared" si="3"/>
        <v>18965.9808</v>
      </c>
      <c r="I52" s="67">
        <f> 0.78 * 73.58</f>
        <v>57.3924</v>
      </c>
      <c r="J52" s="84">
        <f> 2.16 * 72.9 + 2.16 * 72.3</f>
        <v>313.632</v>
      </c>
      <c r="K52" s="59"/>
      <c r="L52" s="74"/>
      <c r="M52" s="50">
        <f t="shared" si="4"/>
        <v>256.2396</v>
      </c>
      <c r="N52" s="38">
        <f t="shared" si="5"/>
        <v>0.01351048505</v>
      </c>
      <c r="O52" s="38">
        <f t="shared" si="6"/>
        <v>0.0186792691</v>
      </c>
      <c r="P52" s="85">
        <f>IFERROR(__xludf.DUMMYFUNCTION("googlefinance(C52) * GoogleFinance(""Currency:USDRUB"")"),1240.0723)</f>
        <v>1240.0723</v>
      </c>
      <c r="Q52" s="85">
        <f t="shared" si="7"/>
        <v>19841.1568</v>
      </c>
      <c r="R52" s="41">
        <f t="shared" si="8"/>
        <v>0.05947502518</v>
      </c>
      <c r="S52" s="60">
        <f t="shared" si="9"/>
        <v>0.08222872799</v>
      </c>
      <c r="T52" s="86">
        <f>SUM(Q52:Q56)</f>
        <v>43268.3568</v>
      </c>
      <c r="U52" s="70">
        <f>(SUM(Q52:Q56) + SUM(M52:M56) - SUM(H52:H56))/SUM(H52:H56)</f>
        <v>-0.05060720028</v>
      </c>
      <c r="V52" s="70">
        <f>U52/(TODAY()-B52)*365</f>
        <v>-0.06996828826</v>
      </c>
      <c r="W52" s="57">
        <f t="shared" si="10"/>
        <v>264</v>
      </c>
      <c r="X52" s="27">
        <f t="shared" si="11"/>
        <v>0.02194872318</v>
      </c>
    </row>
    <row r="53">
      <c r="B53" s="64">
        <v>44349.0</v>
      </c>
      <c r="C53" s="65" t="str">
        <f>HYPERLINK("https://ru.investing.com/equities/lsr-group_rts","LSRG")</f>
        <v>LSRG</v>
      </c>
      <c r="D53" s="66" t="s">
        <v>21</v>
      </c>
      <c r="E53" s="66" t="s">
        <v>27</v>
      </c>
      <c r="F53" s="82">
        <v>780.575</v>
      </c>
      <c r="G53" s="66">
        <v>8.0</v>
      </c>
      <c r="H53" s="83">
        <f t="shared" si="3"/>
        <v>6244.6</v>
      </c>
      <c r="I53" s="67">
        <v>18.73</v>
      </c>
      <c r="J53" s="68"/>
      <c r="K53" s="59"/>
      <c r="L53" s="69"/>
      <c r="M53" s="50">
        <f t="shared" si="4"/>
        <v>-18.73</v>
      </c>
      <c r="N53" s="38">
        <f t="shared" si="5"/>
        <v>-0.002999391474</v>
      </c>
      <c r="O53" s="38">
        <f t="shared" si="6"/>
        <v>-0.00414688594</v>
      </c>
      <c r="P53" s="52" t="str">
        <f>IFERROR(__xludf.DUMMYFUNCTION(" SUBSTITUTE(ImportHTML(CONCATENATE(""http://iss.moex.com/iss/engines/stock/markets/shares/boards/TQBR/securities.html?securities="", C53,""&amp;marketdata.columns=LAST&amp;iss.meta=off&amp;iss.only=marketdata""),""table"",1), ""."", "","")"),"730,6")</f>
        <v>730,6</v>
      </c>
      <c r="Q53" s="85">
        <f t="shared" si="7"/>
        <v>5844.8</v>
      </c>
      <c r="R53" s="41">
        <f t="shared" si="8"/>
        <v>-0.06682228144</v>
      </c>
      <c r="S53" s="41">
        <f t="shared" si="9"/>
        <v>-0.09238686638</v>
      </c>
      <c r="T53" s="75"/>
      <c r="U53" s="75"/>
      <c r="V53" s="75"/>
      <c r="W53" s="57">
        <f t="shared" si="10"/>
        <v>264</v>
      </c>
      <c r="X53" s="27">
        <f t="shared" si="11"/>
        <v>0.007226675922</v>
      </c>
    </row>
    <row r="54">
      <c r="B54" s="42">
        <v>44349.0</v>
      </c>
      <c r="C54" s="65" t="str">
        <f>HYPERLINK("https://ru.investing.com/equities/mrsk-cip","MRKP")</f>
        <v>MRKP</v>
      </c>
      <c r="D54" s="44" t="s">
        <v>21</v>
      </c>
      <c r="E54" s="44" t="s">
        <v>26</v>
      </c>
      <c r="F54" s="44">
        <v>0.2944</v>
      </c>
      <c r="G54" s="44">
        <v>10000.0</v>
      </c>
      <c r="H54" s="45">
        <f t="shared" si="3"/>
        <v>2944</v>
      </c>
      <c r="I54" s="90">
        <v>8.83</v>
      </c>
      <c r="J54" s="47">
        <f> 259.26</f>
        <v>259.26</v>
      </c>
      <c r="K54" s="48"/>
      <c r="L54" s="49">
        <f> 33.71</f>
        <v>33.71</v>
      </c>
      <c r="M54" s="50">
        <f t="shared" si="4"/>
        <v>216.72</v>
      </c>
      <c r="N54" s="51">
        <f t="shared" si="5"/>
        <v>0.07361413043</v>
      </c>
      <c r="O54" s="51">
        <f t="shared" si="6"/>
        <v>0.1017771122</v>
      </c>
      <c r="P54" s="52" t="str">
        <f>IFERROR(__xludf.DUMMYFUNCTION(" SUBSTITUTE(ImportHTML(CONCATENATE(""http://iss.moex.com/iss/engines/stock/markets/shares/boards/TQBR/securities.html?securities="", C54,""&amp;marketdata.columns=LAST&amp;iss.meta=off&amp;iss.only=marketdata""),""table"",1), ""."", "","")"),"0,2008")</f>
        <v>0,2008</v>
      </c>
      <c r="Q54" s="52">
        <f t="shared" si="7"/>
        <v>2008</v>
      </c>
      <c r="R54" s="41">
        <f t="shared" si="8"/>
        <v>-0.2435900475</v>
      </c>
      <c r="S54" s="53">
        <f t="shared" si="9"/>
        <v>-0.3367816945</v>
      </c>
      <c r="T54" s="75"/>
      <c r="U54" s="75"/>
      <c r="V54" s="75"/>
      <c r="W54" s="57">
        <f t="shared" si="10"/>
        <v>264</v>
      </c>
      <c r="X54" s="27">
        <f t="shared" si="11"/>
        <v>0.003406997072</v>
      </c>
    </row>
    <row r="55">
      <c r="B55" s="42">
        <v>44349.0</v>
      </c>
      <c r="C55" s="65" t="str">
        <f>HYPERLINK("https://ru.investing.com/equities/mts_rts","MTSS")</f>
        <v>MTSS</v>
      </c>
      <c r="D55" s="44" t="s">
        <v>21</v>
      </c>
      <c r="E55" s="44" t="s">
        <v>30</v>
      </c>
      <c r="F55" s="44">
        <v>338.35</v>
      </c>
      <c r="G55" s="44">
        <v>30.0</v>
      </c>
      <c r="H55" s="45">
        <f t="shared" si="3"/>
        <v>10150.5</v>
      </c>
      <c r="I55" s="90">
        <v>30.35</v>
      </c>
      <c r="J55" s="47">
        <f> 795.3 + 316.5</f>
        <v>1111.8</v>
      </c>
      <c r="K55" s="48"/>
      <c r="L55" s="49">
        <f> 96.8 + 39</f>
        <v>135.8</v>
      </c>
      <c r="M55" s="50">
        <f t="shared" si="4"/>
        <v>945.65</v>
      </c>
      <c r="N55" s="51">
        <f t="shared" si="5"/>
        <v>0.09316289838</v>
      </c>
      <c r="O55" s="51">
        <f t="shared" si="6"/>
        <v>0.1288047648</v>
      </c>
      <c r="P55" s="52" t="str">
        <f>IFERROR(__xludf.DUMMYFUNCTION(" SUBSTITUTE(ImportHTML(CONCATENATE(""http://iss.moex.com/iss/engines/stock/markets/shares/boards/TQBR/securities.html?securities="", C55,""&amp;marketdata.columns=LAST&amp;iss.meta=off&amp;iss.only=marketdata""),""table"",1), ""."", "","")"),"261")</f>
        <v>261</v>
      </c>
      <c r="Q55" s="52">
        <f t="shared" si="7"/>
        <v>7830</v>
      </c>
      <c r="R55" s="41">
        <f t="shared" si="8"/>
        <v>-0.1350427518</v>
      </c>
      <c r="S55" s="53">
        <f t="shared" si="9"/>
        <v>-0.1867068349</v>
      </c>
      <c r="T55" s="75"/>
      <c r="U55" s="75"/>
      <c r="V55" s="75"/>
      <c r="W55" s="57">
        <f t="shared" si="10"/>
        <v>264</v>
      </c>
      <c r="X55" s="27">
        <f t="shared" si="11"/>
        <v>0.01174684911</v>
      </c>
    </row>
    <row r="56">
      <c r="B56" s="42">
        <v>44349.0</v>
      </c>
      <c r="C56" s="65" t="str">
        <f>HYPERLINK("https://ru.investing.com/equities/tatneft-p_rts","TATNP")</f>
        <v>TATNP</v>
      </c>
      <c r="D56" s="44" t="s">
        <v>21</v>
      </c>
      <c r="E56" s="44" t="s">
        <v>28</v>
      </c>
      <c r="F56" s="44">
        <v>485.1</v>
      </c>
      <c r="G56" s="44">
        <v>19.0</v>
      </c>
      <c r="H56" s="45">
        <f t="shared" si="3"/>
        <v>9216.9</v>
      </c>
      <c r="I56" s="90">
        <v>27.65</v>
      </c>
      <c r="J56" s="47">
        <f> 233.7 + 313.88</f>
        <v>547.58</v>
      </c>
      <c r="K56" s="48"/>
      <c r="L56" s="49">
        <f> 30.36 + 40.78</f>
        <v>71.14</v>
      </c>
      <c r="M56" s="50">
        <f t="shared" si="4"/>
        <v>448.79</v>
      </c>
      <c r="N56" s="51">
        <f t="shared" si="5"/>
        <v>0.04869207651</v>
      </c>
      <c r="O56" s="51">
        <f t="shared" si="6"/>
        <v>0.06732048457</v>
      </c>
      <c r="P56" s="52" t="str">
        <f>IFERROR(__xludf.DUMMYFUNCTION(" SUBSTITUTE(ImportHTML(CONCATENATE(""http://iss.moex.com/iss/engines/stock/markets/shares/boards/TQBR/securities.html?securities="", C56,""&amp;marketdata.columns=LAST&amp;iss.meta=off&amp;iss.only=marketdata""),""table"",1), ""."", "","")"),"407,6")</f>
        <v>407,6</v>
      </c>
      <c r="Q56" s="52">
        <f t="shared" si="7"/>
        <v>7744.4</v>
      </c>
      <c r="R56" s="41">
        <f t="shared" si="8"/>
        <v>-0.1107365962</v>
      </c>
      <c r="S56" s="53">
        <f t="shared" si="9"/>
        <v>-0.1531017333</v>
      </c>
      <c r="T56" s="61"/>
      <c r="U56" s="61"/>
      <c r="V56" s="61"/>
      <c r="W56" s="57">
        <f t="shared" si="10"/>
        <v>264</v>
      </c>
      <c r="X56" s="27">
        <f t="shared" si="11"/>
        <v>0.01066642368</v>
      </c>
    </row>
    <row r="57">
      <c r="B57" s="64">
        <v>44356.0</v>
      </c>
      <c r="C57" s="81" t="s">
        <v>41</v>
      </c>
      <c r="D57" s="66" t="s">
        <v>22</v>
      </c>
      <c r="E57" s="66" t="s">
        <v>25</v>
      </c>
      <c r="F57" s="82">
        <f> 15.11 * 72.13</f>
        <v>1089.8843</v>
      </c>
      <c r="G57" s="66">
        <v>2.0</v>
      </c>
      <c r="H57" s="83">
        <f t="shared" si="3"/>
        <v>2179.7686</v>
      </c>
      <c r="I57" s="67">
        <f> 0.1 * 72.13</f>
        <v>7.213</v>
      </c>
      <c r="J57" s="84">
        <f> 0.27  * 72.9 + 0.27  * 72.3</f>
        <v>39.204</v>
      </c>
      <c r="K57" s="59"/>
      <c r="L57" s="74"/>
      <c r="M57" s="50">
        <f t="shared" si="4"/>
        <v>31.991</v>
      </c>
      <c r="N57" s="38">
        <f t="shared" si="5"/>
        <v>0.01467632849</v>
      </c>
      <c r="O57" s="38">
        <f t="shared" si="6"/>
        <v>0.02084381283</v>
      </c>
      <c r="P57" s="85">
        <f>IFERROR(__xludf.DUMMYFUNCTION("googlefinance(C57) * GoogleFinance(""Currency:USDRUB"")"),1240.0723)</f>
        <v>1240.0723</v>
      </c>
      <c r="Q57" s="85">
        <f t="shared" si="7"/>
        <v>2480.1446</v>
      </c>
      <c r="R57" s="41">
        <f t="shared" si="8"/>
        <v>0.1519752155</v>
      </c>
      <c r="S57" s="60">
        <f t="shared" si="9"/>
        <v>0.2158402866</v>
      </c>
      <c r="T57" s="93">
        <f>Q57+Q58+Q59</f>
        <v>13025.11604</v>
      </c>
      <c r="U57" s="70">
        <f>(SUM(Q57:Q59) + SUM(M57:M59) - SUM(H57:H59))/SUM(H57:H59)</f>
        <v>0.09529214553</v>
      </c>
      <c r="V57" s="71">
        <f>U57/(TODAY()-B57)*365</f>
        <v>0.1353370938</v>
      </c>
      <c r="W57" s="57">
        <f t="shared" si="10"/>
        <v>257</v>
      </c>
      <c r="X57" s="27">
        <f t="shared" si="11"/>
        <v>0.002522576507</v>
      </c>
    </row>
    <row r="58">
      <c r="B58" s="64">
        <v>44356.0</v>
      </c>
      <c r="C58" s="81" t="s">
        <v>42</v>
      </c>
      <c r="D58" s="66" t="s">
        <v>22</v>
      </c>
      <c r="E58" s="66" t="s">
        <v>26</v>
      </c>
      <c r="F58" s="82">
        <f> 56.88 * 72.13</f>
        <v>4102.7544</v>
      </c>
      <c r="G58" s="66">
        <v>2.0</v>
      </c>
      <c r="H58" s="83">
        <f t="shared" si="3"/>
        <v>8205.5088</v>
      </c>
      <c r="I58" s="67">
        <f> 0.34 * 72.13</f>
        <v>24.5242</v>
      </c>
      <c r="J58" s="84">
        <f> 1.19 * 73.49 + 1.19*71.26</f>
        <v>172.2525</v>
      </c>
      <c r="K58" s="59"/>
      <c r="L58" s="74"/>
      <c r="M58" s="50">
        <f t="shared" si="4"/>
        <v>147.7283</v>
      </c>
      <c r="N58" s="38">
        <f t="shared" si="5"/>
        <v>0.01800355147</v>
      </c>
      <c r="O58" s="38">
        <f t="shared" si="6"/>
        <v>0.02556924625</v>
      </c>
      <c r="P58" s="85">
        <f>IFERROR(__xludf.DUMMYFUNCTION("googlefinance(C58) * GoogleFinance(""Currency:USDRUB"")"),4689.58572)</f>
        <v>4689.58572</v>
      </c>
      <c r="Q58" s="85">
        <f t="shared" si="7"/>
        <v>9379.17144</v>
      </c>
      <c r="R58" s="41">
        <f t="shared" si="8"/>
        <v>0.1605571861</v>
      </c>
      <c r="S58" s="60">
        <f t="shared" si="9"/>
        <v>0.2280286884</v>
      </c>
      <c r="T58" s="75"/>
      <c r="U58" s="75"/>
      <c r="V58" s="75"/>
      <c r="W58" s="57">
        <f t="shared" si="10"/>
        <v>257</v>
      </c>
      <c r="X58" s="27">
        <f t="shared" si="11"/>
        <v>0.00949597298</v>
      </c>
    </row>
    <row r="59">
      <c r="B59" s="42">
        <v>44356.0</v>
      </c>
      <c r="C59" s="81" t="s">
        <v>43</v>
      </c>
      <c r="D59" s="44" t="s">
        <v>21</v>
      </c>
      <c r="E59" s="44" t="s">
        <v>23</v>
      </c>
      <c r="F59" s="44">
        <v>1695.9</v>
      </c>
      <c r="G59" s="44">
        <v>1.0</v>
      </c>
      <c r="H59" s="45">
        <f t="shared" si="3"/>
        <v>1695.9</v>
      </c>
      <c r="I59" s="90">
        <v>5.09</v>
      </c>
      <c r="J59" s="48">
        <f> 0.45 * 72.6075</f>
        <v>32.673375</v>
      </c>
      <c r="K59" s="48"/>
      <c r="L59" s="49"/>
      <c r="M59" s="50">
        <f t="shared" si="4"/>
        <v>27.583375</v>
      </c>
      <c r="N59" s="51">
        <f t="shared" si="5"/>
        <v>0.01626474144</v>
      </c>
      <c r="O59" s="51">
        <f t="shared" si="6"/>
        <v>0.02309973005</v>
      </c>
      <c r="P59" s="52" t="str">
        <f>IFERROR(__xludf.DUMMYFUNCTION(" SUBSTITUTE(ImportHTML(CONCATENATE(""http://iss.moex.com/iss/engines/stock/markets/shares/boards/TQBR/securities.html?securities="", C59,""&amp;marketdata.columns=LAST&amp;iss.meta=off&amp;iss.only=marketdata""),""table"",1), ""."", "","")"),"1165,8")</f>
        <v>1165,8</v>
      </c>
      <c r="Q59" s="52">
        <f t="shared" si="7"/>
        <v>1165.8</v>
      </c>
      <c r="R59" s="41">
        <f t="shared" si="8"/>
        <v>-0.2954259725</v>
      </c>
      <c r="S59" s="53">
        <f t="shared" si="9"/>
        <v>-0.419573852</v>
      </c>
      <c r="T59" s="61"/>
      <c r="U59" s="61"/>
      <c r="V59" s="61"/>
      <c r="W59" s="57">
        <f t="shared" si="10"/>
        <v>257</v>
      </c>
      <c r="X59" s="27">
        <f t="shared" si="11"/>
        <v>0.001962610847</v>
      </c>
    </row>
    <row r="60">
      <c r="B60" s="64">
        <v>44363.0</v>
      </c>
      <c r="C60" s="81" t="s">
        <v>41</v>
      </c>
      <c r="D60" s="66" t="s">
        <v>22</v>
      </c>
      <c r="E60" s="66" t="s">
        <v>25</v>
      </c>
      <c r="F60" s="82">
        <f> 14.42 * 72.01</f>
        <v>1038.3842</v>
      </c>
      <c r="G60" s="66">
        <v>2.0</v>
      </c>
      <c r="H60" s="83">
        <f t="shared" si="3"/>
        <v>2076.7684</v>
      </c>
      <c r="I60" s="67">
        <f> 0.08 * 72.01</f>
        <v>5.7608</v>
      </c>
      <c r="J60" s="84">
        <f> 0.27  * 72.3</f>
        <v>19.521</v>
      </c>
      <c r="K60" s="59"/>
      <c r="L60" s="74"/>
      <c r="M60" s="50">
        <f t="shared" si="4"/>
        <v>13.7602</v>
      </c>
      <c r="N60" s="38">
        <f t="shared" si="5"/>
        <v>0.00662577493</v>
      </c>
      <c r="O60" s="38">
        <f t="shared" si="6"/>
        <v>0.009673631398</v>
      </c>
      <c r="P60" s="85">
        <f>IFERROR(__xludf.DUMMYFUNCTION("googlefinance(C60) * GoogleFinance(""Currency:USDRUB"")"),1240.0723)</f>
        <v>1240.0723</v>
      </c>
      <c r="Q60" s="85">
        <f t="shared" si="7"/>
        <v>2480.1446</v>
      </c>
      <c r="R60" s="41">
        <f t="shared" si="8"/>
        <v>0.2003027857</v>
      </c>
      <c r="S60" s="60">
        <f t="shared" si="9"/>
        <v>0.2924420671</v>
      </c>
      <c r="T60" s="93">
        <f>Q60+Q61+Q62</f>
        <v>14190.91604</v>
      </c>
      <c r="U60" s="70">
        <f>(SUM(Q60:Q62) + SUM(M60:M62) - SUM(H60:H62))/SUM(H60:H62)</f>
        <v>0.0355941542</v>
      </c>
      <c r="V60" s="71">
        <f>U60/(TODAY()-B60)*365</f>
        <v>0.05196746513</v>
      </c>
      <c r="W60" s="57">
        <f t="shared" si="10"/>
        <v>250</v>
      </c>
      <c r="X60" s="27">
        <f t="shared" si="11"/>
        <v>0.002403377669</v>
      </c>
    </row>
    <row r="61">
      <c r="B61" s="64">
        <v>44363.0</v>
      </c>
      <c r="C61" s="81" t="s">
        <v>42</v>
      </c>
      <c r="D61" s="66" t="s">
        <v>22</v>
      </c>
      <c r="E61" s="66" t="s">
        <v>26</v>
      </c>
      <c r="F61" s="82">
        <f> 58.9 * 72.01</f>
        <v>4241.389</v>
      </c>
      <c r="G61" s="66">
        <v>2.0</v>
      </c>
      <c r="H61" s="83">
        <f t="shared" si="3"/>
        <v>8482.778</v>
      </c>
      <c r="I61" s="67">
        <f> 0.36 * 72.01</f>
        <v>25.9236</v>
      </c>
      <c r="J61" s="84">
        <f> 1.19 * 73.49 + 1.19*71.26</f>
        <v>172.2525</v>
      </c>
      <c r="K61" s="59"/>
      <c r="L61" s="74"/>
      <c r="M61" s="50">
        <f t="shared" si="4"/>
        <v>146.3289</v>
      </c>
      <c r="N61" s="38">
        <f t="shared" si="5"/>
        <v>0.01725011547</v>
      </c>
      <c r="O61" s="38">
        <f t="shared" si="6"/>
        <v>0.02518516859</v>
      </c>
      <c r="P61" s="85">
        <f>IFERROR(__xludf.DUMMYFUNCTION("googlefinance(C61) * GoogleFinance(""Currency:USDRUB"")"),4689.58572)</f>
        <v>4689.58572</v>
      </c>
      <c r="Q61" s="85">
        <f t="shared" si="7"/>
        <v>9379.17144</v>
      </c>
      <c r="R61" s="41">
        <f t="shared" si="8"/>
        <v>0.1225477622</v>
      </c>
      <c r="S61" s="60">
        <f t="shared" si="9"/>
        <v>0.1789197328</v>
      </c>
      <c r="T61" s="75"/>
      <c r="U61" s="75"/>
      <c r="V61" s="75"/>
      <c r="W61" s="57">
        <f t="shared" si="10"/>
        <v>250</v>
      </c>
      <c r="X61" s="27">
        <f t="shared" si="11"/>
        <v>0.00981684776</v>
      </c>
    </row>
    <row r="62">
      <c r="B62" s="42">
        <v>44363.0</v>
      </c>
      <c r="C62" s="81" t="s">
        <v>43</v>
      </c>
      <c r="D62" s="44" t="s">
        <v>21</v>
      </c>
      <c r="E62" s="44" t="s">
        <v>23</v>
      </c>
      <c r="F62" s="44">
        <v>1675.8</v>
      </c>
      <c r="G62" s="44">
        <v>2.0</v>
      </c>
      <c r="H62" s="45">
        <f t="shared" si="3"/>
        <v>3351.6</v>
      </c>
      <c r="I62" s="90">
        <v>10.05</v>
      </c>
      <c r="J62" s="48">
        <f> 0.9 * 72.6075</f>
        <v>65.34675</v>
      </c>
      <c r="K62" s="48"/>
      <c r="L62" s="49"/>
      <c r="M62" s="50">
        <f t="shared" si="4"/>
        <v>55.29675</v>
      </c>
      <c r="N62" s="51">
        <f t="shared" si="5"/>
        <v>0.0164986126</v>
      </c>
      <c r="O62" s="51">
        <f t="shared" si="6"/>
        <v>0.0240879744</v>
      </c>
      <c r="P62" s="52" t="str">
        <f>IFERROR(__xludf.DUMMYFUNCTION(" SUBSTITUTE(ImportHTML(CONCATENATE(""http://iss.moex.com/iss/engines/stock/markets/shares/boards/TQBR/securities.html?securities="", C62,""&amp;marketdata.columns=LAST&amp;iss.meta=off&amp;iss.only=marketdata""),""table"",1), ""."", "","")"),"1165,8")</f>
        <v>1165,8</v>
      </c>
      <c r="Q62" s="52">
        <f t="shared" si="7"/>
        <v>2331.6</v>
      </c>
      <c r="R62" s="41">
        <f t="shared" si="8"/>
        <v>-0.2869731382</v>
      </c>
      <c r="S62" s="53">
        <f t="shared" si="9"/>
        <v>-0.4189807818</v>
      </c>
      <c r="T62" s="61"/>
      <c r="U62" s="61"/>
      <c r="V62" s="61"/>
      <c r="W62" s="57">
        <f t="shared" si="10"/>
        <v>250</v>
      </c>
      <c r="X62" s="27">
        <f t="shared" si="11"/>
        <v>0.00387869952</v>
      </c>
    </row>
    <row r="63">
      <c r="B63" s="64">
        <v>44370.0</v>
      </c>
      <c r="C63" s="81" t="s">
        <v>41</v>
      </c>
      <c r="D63" s="66" t="s">
        <v>22</v>
      </c>
      <c r="E63" s="66" t="s">
        <v>25</v>
      </c>
      <c r="F63" s="82">
        <f> 13.82 * 72.77</f>
        <v>1005.6814</v>
      </c>
      <c r="G63" s="66">
        <v>3.0</v>
      </c>
      <c r="H63" s="83">
        <f t="shared" si="3"/>
        <v>3017.0442</v>
      </c>
      <c r="I63" s="67">
        <f> 0.12 * 72.77</f>
        <v>8.7324</v>
      </c>
      <c r="J63" s="84">
        <f> 0.41  * 72.3</f>
        <v>29.643</v>
      </c>
      <c r="K63" s="59"/>
      <c r="L63" s="74"/>
      <c r="M63" s="50">
        <f t="shared" si="4"/>
        <v>20.9106</v>
      </c>
      <c r="N63" s="38">
        <f t="shared" si="5"/>
        <v>0.006930823221</v>
      </c>
      <c r="O63" s="38">
        <f t="shared" si="6"/>
        <v>0.01041049578</v>
      </c>
      <c r="P63" s="85">
        <f>IFERROR(__xludf.DUMMYFUNCTION("googlefinance(C63) * GoogleFinance(""Currency:USDRUB"")"),1240.0723)</f>
        <v>1240.0723</v>
      </c>
      <c r="Q63" s="85">
        <f t="shared" si="7"/>
        <v>3720.2169</v>
      </c>
      <c r="R63" s="41">
        <f t="shared" si="8"/>
        <v>0.2393049441</v>
      </c>
      <c r="S63" s="60">
        <f t="shared" si="9"/>
        <v>0.3594498131</v>
      </c>
      <c r="T63" s="93">
        <f>Q63+Q64+Q65</f>
        <v>10741.40262</v>
      </c>
      <c r="U63" s="70">
        <f>(SUM(Q63:Q65) + SUM(M63:M65) - SUM(H63:H65))/SUM(H63:H65)</f>
        <v>0.04937899642</v>
      </c>
      <c r="V63" s="71">
        <f>U63/(TODAY()-B63)*365</f>
        <v>0.0741700975</v>
      </c>
      <c r="W63" s="57">
        <f t="shared" si="10"/>
        <v>243</v>
      </c>
      <c r="X63" s="27">
        <f t="shared" si="11"/>
        <v>0.003491528789</v>
      </c>
    </row>
    <row r="64">
      <c r="B64" s="64">
        <v>44370.0</v>
      </c>
      <c r="C64" s="81" t="s">
        <v>42</v>
      </c>
      <c r="D64" s="66" t="s">
        <v>22</v>
      </c>
      <c r="E64" s="66" t="s">
        <v>26</v>
      </c>
      <c r="F64" s="82">
        <f> 56.3 * 72.77</f>
        <v>4096.951</v>
      </c>
      <c r="G64" s="66">
        <v>1.0</v>
      </c>
      <c r="H64" s="83">
        <f t="shared" si="3"/>
        <v>4096.951</v>
      </c>
      <c r="I64" s="67">
        <f> 0.17 * 72.77</f>
        <v>12.3709</v>
      </c>
      <c r="J64" s="84">
        <f> 0.6 * 73.49 + 0.6*71.26</f>
        <v>86.85</v>
      </c>
      <c r="K64" s="59"/>
      <c r="L64" s="74"/>
      <c r="M64" s="50">
        <f t="shared" si="4"/>
        <v>74.4791</v>
      </c>
      <c r="N64" s="38">
        <f t="shared" si="5"/>
        <v>0.01817915323</v>
      </c>
      <c r="O64" s="38">
        <f t="shared" si="6"/>
        <v>0.02730613551</v>
      </c>
      <c r="P64" s="85">
        <f>IFERROR(__xludf.DUMMYFUNCTION("googlefinance(C64) * GoogleFinance(""Currency:USDRUB"")"),4689.58572)</f>
        <v>4689.58572</v>
      </c>
      <c r="Q64" s="85">
        <f t="shared" si="7"/>
        <v>4689.58572</v>
      </c>
      <c r="R64" s="41">
        <f t="shared" si="8"/>
        <v>0.1623415824</v>
      </c>
      <c r="S64" s="60">
        <f t="shared" si="9"/>
        <v>0.2438464098</v>
      </c>
      <c r="T64" s="75"/>
      <c r="U64" s="75"/>
      <c r="V64" s="75"/>
      <c r="W64" s="57">
        <f t="shared" si="10"/>
        <v>243</v>
      </c>
      <c r="X64" s="27">
        <f t="shared" si="11"/>
        <v>0.004741270401</v>
      </c>
    </row>
    <row r="65">
      <c r="B65" s="42">
        <v>44370.0</v>
      </c>
      <c r="C65" s="81" t="s">
        <v>43</v>
      </c>
      <c r="D65" s="44" t="s">
        <v>21</v>
      </c>
      <c r="E65" s="44" t="s">
        <v>23</v>
      </c>
      <c r="F65" s="44">
        <v>1632.9</v>
      </c>
      <c r="G65" s="44">
        <v>2.0</v>
      </c>
      <c r="H65" s="45">
        <f t="shared" si="3"/>
        <v>3265.8</v>
      </c>
      <c r="I65" s="90">
        <v>9.8</v>
      </c>
      <c r="J65" s="48">
        <f> 0.9 * 72.6075</f>
        <v>65.34675</v>
      </c>
      <c r="K65" s="48"/>
      <c r="L65" s="49"/>
      <c r="M65" s="50">
        <f t="shared" si="4"/>
        <v>55.54675</v>
      </c>
      <c r="N65" s="51">
        <f t="shared" si="5"/>
        <v>0.01700861963</v>
      </c>
      <c r="O65" s="51">
        <f t="shared" si="6"/>
        <v>0.02554792661</v>
      </c>
      <c r="P65" s="52" t="str">
        <f>IFERROR(__xludf.DUMMYFUNCTION(" SUBSTITUTE(ImportHTML(CONCATENATE(""http://iss.moex.com/iss/engines/stock/markets/shares/boards/TQBR/securities.html?securities="", C65,""&amp;marketdata.columns=LAST&amp;iss.meta=off&amp;iss.only=marketdata""),""table"",1), ""."", "","")"),"1165,8")</f>
        <v>1165,8</v>
      </c>
      <c r="Q65" s="52">
        <f t="shared" si="7"/>
        <v>2331.6</v>
      </c>
      <c r="R65" s="41">
        <f t="shared" si="8"/>
        <v>-0.2682419251</v>
      </c>
      <c r="S65" s="53">
        <f t="shared" si="9"/>
        <v>-0.4029148258</v>
      </c>
      <c r="T65" s="61"/>
      <c r="U65" s="61"/>
      <c r="V65" s="61"/>
      <c r="W65" s="57">
        <f t="shared" si="10"/>
        <v>243</v>
      </c>
      <c r="X65" s="27">
        <f t="shared" si="11"/>
        <v>0.003779405923</v>
      </c>
    </row>
    <row r="66">
      <c r="B66" s="64">
        <v>44377.0</v>
      </c>
      <c r="C66" s="81" t="s">
        <v>41</v>
      </c>
      <c r="D66" s="66" t="s">
        <v>22</v>
      </c>
      <c r="E66" s="66" t="s">
        <v>25</v>
      </c>
      <c r="F66" s="82">
        <f> 14.31 * 72.74</f>
        <v>1040.9094</v>
      </c>
      <c r="G66" s="66">
        <v>5.0</v>
      </c>
      <c r="H66" s="83">
        <f t="shared" si="3"/>
        <v>5204.547</v>
      </c>
      <c r="I66" s="67">
        <f> 0.12 * 72.74</f>
        <v>8.7288</v>
      </c>
      <c r="J66" s="84">
        <f> 0.68  * 72.3</f>
        <v>49.164</v>
      </c>
      <c r="K66" s="59"/>
      <c r="L66" s="74"/>
      <c r="M66" s="50">
        <f t="shared" si="4"/>
        <v>40.4352</v>
      </c>
      <c r="N66" s="38">
        <f t="shared" si="5"/>
        <v>0.007769206427</v>
      </c>
      <c r="O66" s="38">
        <f t="shared" si="6"/>
        <v>0.01201593367</v>
      </c>
      <c r="P66" s="85">
        <f>IFERROR(__xludf.DUMMYFUNCTION("googlefinance(C66) * GoogleFinance(""Currency:USDRUB"")"),1240.0723)</f>
        <v>1240.0723</v>
      </c>
      <c r="Q66" s="85">
        <f t="shared" si="7"/>
        <v>6200.3615</v>
      </c>
      <c r="R66" s="41">
        <f t="shared" si="8"/>
        <v>0.1987713176</v>
      </c>
      <c r="S66" s="60">
        <f t="shared" si="9"/>
        <v>0.3074217413</v>
      </c>
      <c r="T66" s="93">
        <f>Q66+Q67+Q68</f>
        <v>23766.51866</v>
      </c>
      <c r="U66" s="70">
        <f>(SUM(Q66:Q68) + SUM(M66:M68) - SUM(H66:H68))/SUM(H66:H68)</f>
        <v>0.07212034481</v>
      </c>
      <c r="V66" s="71">
        <f>U66/(TODAY()-B66)*365</f>
        <v>0.1115420587</v>
      </c>
      <c r="W66" s="57">
        <f t="shared" si="10"/>
        <v>236</v>
      </c>
      <c r="X66" s="27">
        <f t="shared" si="11"/>
        <v>0.006023055838</v>
      </c>
    </row>
    <row r="67">
      <c r="B67" s="64">
        <v>44377.0</v>
      </c>
      <c r="C67" s="81" t="s">
        <v>42</v>
      </c>
      <c r="D67" s="66" t="s">
        <v>22</v>
      </c>
      <c r="E67" s="66" t="s">
        <v>26</v>
      </c>
      <c r="F67" s="82">
        <f> 57.74 * 72.74</f>
        <v>4200.0076</v>
      </c>
      <c r="G67" s="66">
        <v>3.0</v>
      </c>
      <c r="H67" s="83">
        <f t="shared" si="3"/>
        <v>12600.0228</v>
      </c>
      <c r="I67" s="67">
        <f> 0.51 * 72.74</f>
        <v>37.0974</v>
      </c>
      <c r="J67" s="84">
        <f> 1.79 * 73.49 + 1.79*71.26</f>
        <v>259.1025</v>
      </c>
      <c r="K67" s="59"/>
      <c r="L67" s="74"/>
      <c r="M67" s="50">
        <f t="shared" si="4"/>
        <v>222.0051</v>
      </c>
      <c r="N67" s="38">
        <f t="shared" si="5"/>
        <v>0.0176194205</v>
      </c>
      <c r="O67" s="38">
        <f t="shared" si="6"/>
        <v>0.02725037492</v>
      </c>
      <c r="P67" s="85">
        <f>IFERROR(__xludf.DUMMYFUNCTION("googlefinance(C67) * GoogleFinance(""Currency:USDRUB"")"),4689.58572)</f>
        <v>4689.58572</v>
      </c>
      <c r="Q67" s="85">
        <f t="shared" si="7"/>
        <v>14068.75716</v>
      </c>
      <c r="R67" s="41">
        <f t="shared" si="8"/>
        <v>0.1337915153</v>
      </c>
      <c r="S67" s="60">
        <f t="shared" si="9"/>
        <v>0.2069233181</v>
      </c>
      <c r="T67" s="75"/>
      <c r="U67" s="75"/>
      <c r="V67" s="75"/>
      <c r="W67" s="57">
        <f t="shared" si="10"/>
        <v>236</v>
      </c>
      <c r="X67" s="27">
        <f t="shared" si="11"/>
        <v>0.01458160353</v>
      </c>
    </row>
    <row r="68">
      <c r="B68" s="42">
        <v>44377.0</v>
      </c>
      <c r="C68" s="81" t="s">
        <v>43</v>
      </c>
      <c r="D68" s="44" t="s">
        <v>21</v>
      </c>
      <c r="E68" s="44" t="s">
        <v>23</v>
      </c>
      <c r="F68" s="44">
        <v>1562.1</v>
      </c>
      <c r="G68" s="44">
        <v>3.0</v>
      </c>
      <c r="H68" s="45">
        <f t="shared" si="3"/>
        <v>4686.3</v>
      </c>
      <c r="I68" s="90">
        <v>14.06</v>
      </c>
      <c r="J68" s="48">
        <f> 1.35 * 72.6075</f>
        <v>98.020125</v>
      </c>
      <c r="K68" s="48"/>
      <c r="L68" s="49"/>
      <c r="M68" s="50">
        <f t="shared" si="4"/>
        <v>83.960125</v>
      </c>
      <c r="N68" s="51">
        <f t="shared" si="5"/>
        <v>0.01791607985</v>
      </c>
      <c r="O68" s="51">
        <f t="shared" si="6"/>
        <v>0.02770919129</v>
      </c>
      <c r="P68" s="52" t="str">
        <f>IFERROR(__xludf.DUMMYFUNCTION(" SUBSTITUTE(ImportHTML(CONCATENATE(""http://iss.moex.com/iss/engines/stock/markets/shares/boards/TQBR/securities.html?securities="", C68,""&amp;marketdata.columns=LAST&amp;iss.meta=off&amp;iss.only=marketdata""),""table"",1), ""."", "","")"),"1165,8")</f>
        <v>1165,8</v>
      </c>
      <c r="Q68" s="52">
        <f t="shared" si="7"/>
        <v>3497.4</v>
      </c>
      <c r="R68" s="41">
        <f t="shared" si="8"/>
        <v>-0.2350755846</v>
      </c>
      <c r="S68" s="53">
        <f t="shared" si="9"/>
        <v>-0.3635702898</v>
      </c>
      <c r="T68" s="61"/>
      <c r="U68" s="61"/>
      <c r="V68" s="61"/>
      <c r="W68" s="57">
        <f t="shared" si="10"/>
        <v>236</v>
      </c>
      <c r="X68" s="27">
        <f t="shared" si="11"/>
        <v>0.005423305155</v>
      </c>
    </row>
    <row r="69">
      <c r="B69" s="64">
        <v>44384.0</v>
      </c>
      <c r="C69" s="81" t="s">
        <v>43</v>
      </c>
      <c r="D69" s="44" t="s">
        <v>21</v>
      </c>
      <c r="E69" s="44" t="s">
        <v>23</v>
      </c>
      <c r="F69" s="82">
        <v>1627.0</v>
      </c>
      <c r="G69" s="66">
        <v>6.0</v>
      </c>
      <c r="H69" s="83">
        <f t="shared" si="3"/>
        <v>9762</v>
      </c>
      <c r="I69" s="67">
        <v>29.29</v>
      </c>
      <c r="J69" s="84">
        <f> 2.7 * 72.6075</f>
        <v>196.04025</v>
      </c>
      <c r="K69" s="59"/>
      <c r="L69" s="74"/>
      <c r="M69" s="50">
        <f t="shared" si="4"/>
        <v>166.75025</v>
      </c>
      <c r="N69" s="38">
        <f t="shared" si="5"/>
        <v>0.01708156628</v>
      </c>
      <c r="O69" s="38">
        <f t="shared" si="6"/>
        <v>0.02722607725</v>
      </c>
      <c r="P69" s="52" t="str">
        <f>IFERROR(__xludf.DUMMYFUNCTION(" SUBSTITUTE(ImportHTML(CONCATENATE(""http://iss.moex.com/iss/engines/stock/markets/shares/boards/TQBR/securities.html?securities="", C69,""&amp;marketdata.columns=LAST&amp;iss.meta=off&amp;iss.only=marketdata""),""table"",1), ""."", "","")"),"1165,8")</f>
        <v>1165,8</v>
      </c>
      <c r="Q69" s="85">
        <f t="shared" si="7"/>
        <v>6994.8</v>
      </c>
      <c r="R69" s="41">
        <f t="shared" si="8"/>
        <v>-0.2655880635</v>
      </c>
      <c r="S69" s="60">
        <f t="shared" si="9"/>
        <v>-0.4233172191</v>
      </c>
      <c r="T69" s="83">
        <f t="shared" ref="T69:V69" si="21">Q69</f>
        <v>6994.8</v>
      </c>
      <c r="U69" s="38">
        <f t="shared" si="21"/>
        <v>-0.2655880635</v>
      </c>
      <c r="V69" s="38">
        <f t="shared" si="21"/>
        <v>-0.4233172191</v>
      </c>
      <c r="W69" s="57">
        <f t="shared" si="10"/>
        <v>229</v>
      </c>
      <c r="X69" s="27">
        <f t="shared" si="11"/>
        <v>0.01129725048</v>
      </c>
    </row>
    <row r="70">
      <c r="B70" s="64">
        <v>44398.0</v>
      </c>
      <c r="C70" s="81" t="s">
        <v>43</v>
      </c>
      <c r="D70" s="44" t="s">
        <v>21</v>
      </c>
      <c r="E70" s="44" t="s">
        <v>23</v>
      </c>
      <c r="F70" s="82">
        <v>1593.1</v>
      </c>
      <c r="G70" s="66">
        <v>12.0</v>
      </c>
      <c r="H70" s="83">
        <f t="shared" si="3"/>
        <v>19117.2</v>
      </c>
      <c r="I70" s="67">
        <v>57.35</v>
      </c>
      <c r="J70" s="84">
        <f> 5.4 * 72.6075</f>
        <v>392.0805</v>
      </c>
      <c r="K70" s="59"/>
      <c r="L70" s="74"/>
      <c r="M70" s="50">
        <f t="shared" si="4"/>
        <v>334.7305</v>
      </c>
      <c r="N70" s="38">
        <f t="shared" si="5"/>
        <v>0.01750938945</v>
      </c>
      <c r="O70" s="38">
        <f t="shared" si="6"/>
        <v>0.02972524256</v>
      </c>
      <c r="P70" s="52" t="str">
        <f>IFERROR(__xludf.DUMMYFUNCTION(" SUBSTITUTE(ImportHTML(CONCATENATE(""http://iss.moex.com/iss/engines/stock/markets/shares/boards/TQBR/securities.html?securities="", C70,""&amp;marketdata.columns=LAST&amp;iss.meta=off&amp;iss.only=marketdata""),""table"",1), ""."", "","")"),"1165,8")</f>
        <v>1165,8</v>
      </c>
      <c r="Q70" s="85">
        <f t="shared" si="7"/>
        <v>13989.6</v>
      </c>
      <c r="R70" s="41">
        <f t="shared" si="8"/>
        <v>-0.2499599469</v>
      </c>
      <c r="S70" s="60">
        <f t="shared" si="9"/>
        <v>-0.4243506075</v>
      </c>
      <c r="T70" s="83">
        <f t="shared" ref="T70:V70" si="22">Q70</f>
        <v>13989.6</v>
      </c>
      <c r="U70" s="38">
        <f t="shared" si="22"/>
        <v>-0.2499599469</v>
      </c>
      <c r="V70" s="38">
        <f t="shared" si="22"/>
        <v>-0.4243506075</v>
      </c>
      <c r="W70" s="57">
        <f t="shared" si="10"/>
        <v>215</v>
      </c>
      <c r="X70" s="27">
        <f t="shared" si="11"/>
        <v>0.02212372433</v>
      </c>
    </row>
    <row r="71">
      <c r="B71" s="64">
        <v>44412.0</v>
      </c>
      <c r="C71" s="81" t="s">
        <v>41</v>
      </c>
      <c r="D71" s="66" t="s">
        <v>22</v>
      </c>
      <c r="E71" s="66" t="s">
        <v>25</v>
      </c>
      <c r="F71" s="82">
        <f> 14.725 * 72.785</f>
        <v>1071.759125</v>
      </c>
      <c r="G71" s="66">
        <v>6.0</v>
      </c>
      <c r="H71" s="83">
        <f t="shared" si="3"/>
        <v>6430.55475</v>
      </c>
      <c r="I71" s="67">
        <f> 0.26 * 72.785</f>
        <v>18.9241</v>
      </c>
      <c r="J71" s="84">
        <f> 0.81  * 72.3</f>
        <v>58.563</v>
      </c>
      <c r="K71" s="59"/>
      <c r="L71" s="74"/>
      <c r="M71" s="50">
        <f t="shared" si="4"/>
        <v>39.6389</v>
      </c>
      <c r="N71" s="38">
        <f t="shared" si="5"/>
        <v>0.006164149368</v>
      </c>
      <c r="O71" s="38">
        <f t="shared" si="6"/>
        <v>0.01119360457</v>
      </c>
      <c r="P71" s="85">
        <f>IFERROR(__xludf.DUMMYFUNCTION("googlefinance(C71) * GoogleFinance(""Currency:USDRUB"")"),1240.0723)</f>
        <v>1240.0723</v>
      </c>
      <c r="Q71" s="85">
        <f t="shared" si="7"/>
        <v>7440.4338</v>
      </c>
      <c r="R71" s="41">
        <f t="shared" si="8"/>
        <v>0.1627291095</v>
      </c>
      <c r="S71" s="60">
        <f t="shared" si="9"/>
        <v>0.2955031093</v>
      </c>
      <c r="T71" s="93">
        <f>Q71+Q72+Q73</f>
        <v>25244.27308</v>
      </c>
      <c r="U71" s="70">
        <f>(SUM(Q71:Q73) + SUM(M71:M73) - SUM(H71:H73))/SUM(H71:H73)</f>
        <v>0.1199501847</v>
      </c>
      <c r="V71" s="71">
        <f>U71/(TODAY()-B71)*365</f>
        <v>0.2178199871</v>
      </c>
      <c r="W71" s="57">
        <f t="shared" si="10"/>
        <v>201</v>
      </c>
      <c r="X71" s="27">
        <f t="shared" si="11"/>
        <v>0.007441875409</v>
      </c>
    </row>
    <row r="72">
      <c r="B72" s="64">
        <v>44412.0</v>
      </c>
      <c r="C72" s="81" t="s">
        <v>42</v>
      </c>
      <c r="D72" s="66" t="s">
        <v>22</v>
      </c>
      <c r="E72" s="66" t="s">
        <v>26</v>
      </c>
      <c r="F72" s="82">
        <f> 55.74 * 72.785</f>
        <v>4057.0359</v>
      </c>
      <c r="G72" s="66">
        <v>3.0</v>
      </c>
      <c r="H72" s="83">
        <f t="shared" si="3"/>
        <v>12171.1077</v>
      </c>
      <c r="I72" s="67">
        <f> 0.5 * 72.785</f>
        <v>36.3925</v>
      </c>
      <c r="J72" s="84">
        <f> 1.79 * 71.26</f>
        <v>127.5554</v>
      </c>
      <c r="K72" s="59"/>
      <c r="L72" s="74"/>
      <c r="M72" s="50">
        <f t="shared" si="4"/>
        <v>91.1629</v>
      </c>
      <c r="N72" s="38">
        <f t="shared" si="5"/>
        <v>0.007490107084</v>
      </c>
      <c r="O72" s="38">
        <f t="shared" si="6"/>
        <v>0.01360143824</v>
      </c>
      <c r="P72" s="85">
        <f>IFERROR(__xludf.DUMMYFUNCTION("googlefinance(C72) * GoogleFinance(""Currency:USDRUB"")"),4689.58572)</f>
        <v>4689.58572</v>
      </c>
      <c r="Q72" s="85">
        <f t="shared" si="7"/>
        <v>14068.75716</v>
      </c>
      <c r="R72" s="41">
        <f t="shared" si="8"/>
        <v>0.1629172498</v>
      </c>
      <c r="S72" s="60">
        <f t="shared" si="9"/>
        <v>0.2958447572</v>
      </c>
      <c r="T72" s="75"/>
      <c r="U72" s="75"/>
      <c r="V72" s="75"/>
      <c r="W72" s="57">
        <f t="shared" si="10"/>
        <v>201</v>
      </c>
      <c r="X72" s="27">
        <f t="shared" si="11"/>
        <v>0.0140852338</v>
      </c>
    </row>
    <row r="73">
      <c r="B73" s="64">
        <v>44412.0</v>
      </c>
      <c r="C73" s="81" t="s">
        <v>31</v>
      </c>
      <c r="D73" s="66" t="s">
        <v>22</v>
      </c>
      <c r="E73" s="66" t="s">
        <v>32</v>
      </c>
      <c r="F73" s="82">
        <f> 28.2 * 72.785</f>
        <v>2052.537</v>
      </c>
      <c r="G73" s="66">
        <v>2.0</v>
      </c>
      <c r="H73" s="83">
        <f t="shared" si="3"/>
        <v>4105.074</v>
      </c>
      <c r="I73" s="67">
        <f> 0.16 * 72.785</f>
        <v>11.6456</v>
      </c>
      <c r="J73" s="84">
        <f> 0.94 * 71.26</f>
        <v>66.9844</v>
      </c>
      <c r="K73" s="59"/>
      <c r="L73" s="74"/>
      <c r="M73" s="50">
        <f t="shared" si="4"/>
        <v>55.3388</v>
      </c>
      <c r="N73" s="38">
        <f t="shared" si="5"/>
        <v>0.01348058525</v>
      </c>
      <c r="O73" s="38">
        <f t="shared" si="6"/>
        <v>0.02447966973</v>
      </c>
      <c r="P73" s="85">
        <f>IFERROR(__xludf.DUMMYFUNCTION("googlefinance(C73) * GoogleFinance(""Currency:USDRUB"")"),1867.54106)</f>
        <v>1867.54106</v>
      </c>
      <c r="Q73" s="85">
        <f t="shared" si="7"/>
        <v>3735.08212</v>
      </c>
      <c r="R73" s="41">
        <f t="shared" si="8"/>
        <v>-0.07643296376</v>
      </c>
      <c r="S73" s="41">
        <f t="shared" si="9"/>
        <v>-0.138796178</v>
      </c>
      <c r="T73" s="61"/>
      <c r="U73" s="61"/>
      <c r="V73" s="61"/>
      <c r="W73" s="57">
        <f t="shared" si="10"/>
        <v>201</v>
      </c>
      <c r="X73" s="27">
        <f t="shared" si="11"/>
        <v>0.004750670889</v>
      </c>
    </row>
    <row r="74">
      <c r="B74" s="64">
        <v>44426.0</v>
      </c>
      <c r="C74" s="81" t="s">
        <v>43</v>
      </c>
      <c r="D74" s="44" t="s">
        <v>21</v>
      </c>
      <c r="E74" s="44" t="s">
        <v>23</v>
      </c>
      <c r="F74" s="82">
        <v>1527.0</v>
      </c>
      <c r="G74" s="66">
        <v>6.0</v>
      </c>
      <c r="H74" s="83">
        <f t="shared" si="3"/>
        <v>9162</v>
      </c>
      <c r="I74" s="67">
        <v>27.49</v>
      </c>
      <c r="J74" s="84">
        <f> 2.7 * 72.6075</f>
        <v>196.04025</v>
      </c>
      <c r="K74" s="59"/>
      <c r="L74" s="74"/>
      <c r="M74" s="50">
        <f t="shared" si="4"/>
        <v>168.55025</v>
      </c>
      <c r="N74" s="38">
        <f t="shared" si="5"/>
        <v>0.01839666558</v>
      </c>
      <c r="O74" s="38">
        <f t="shared" si="6"/>
        <v>0.03590793013</v>
      </c>
      <c r="P74" s="52" t="str">
        <f>IFERROR(__xludf.DUMMYFUNCTION(" SUBSTITUTE(ImportHTML(CONCATENATE(""http://iss.moex.com/iss/engines/stock/markets/shares/boards/TQBR/securities.html?securities="", C74,""&amp;marketdata.columns=LAST&amp;iss.meta=off&amp;iss.only=marketdata""),""table"",1), ""."", "","")"),"1165,8")</f>
        <v>1165,8</v>
      </c>
      <c r="Q74" s="85">
        <f t="shared" si="7"/>
        <v>6994.8</v>
      </c>
      <c r="R74" s="41">
        <f t="shared" si="8"/>
        <v>-0.2174930002</v>
      </c>
      <c r="S74" s="60">
        <f t="shared" si="9"/>
        <v>-0.4245184228</v>
      </c>
      <c r="T74" s="93">
        <f>Q74+Q75+Q76</f>
        <v>18861.8</v>
      </c>
      <c r="U74" s="70">
        <f>(SUM(Q74:Q76) + SUM(M74:M76) - SUM(H74:H76))/SUM(H74:H76)</f>
        <v>-0.09165075919</v>
      </c>
      <c r="V74" s="71">
        <f>U74/(TODAY()-B74)*365</f>
        <v>-0.1788905193</v>
      </c>
      <c r="W74" s="57">
        <f t="shared" si="10"/>
        <v>187</v>
      </c>
      <c r="X74" s="27">
        <f t="shared" si="11"/>
        <v>0.01060288966</v>
      </c>
    </row>
    <row r="75">
      <c r="B75" s="42">
        <v>44426.0</v>
      </c>
      <c r="C75" s="65" t="str">
        <f>HYPERLINK("https://ru.investing.com/equities/mrsk-cip","MRKP")</f>
        <v>MRKP</v>
      </c>
      <c r="D75" s="44" t="s">
        <v>21</v>
      </c>
      <c r="E75" s="44" t="s">
        <v>26</v>
      </c>
      <c r="F75" s="44">
        <v>0.2439</v>
      </c>
      <c r="G75" s="44">
        <v>30000.0</v>
      </c>
      <c r="H75" s="45">
        <f t="shared" si="3"/>
        <v>7317</v>
      </c>
      <c r="I75" s="90">
        <v>8.83</v>
      </c>
      <c r="J75" s="47"/>
      <c r="K75" s="48"/>
      <c r="L75" s="49"/>
      <c r="M75" s="50">
        <f t="shared" si="4"/>
        <v>-8.83</v>
      </c>
      <c r="N75" s="51">
        <f t="shared" si="5"/>
        <v>-0.001206778734</v>
      </c>
      <c r="O75" s="51">
        <f t="shared" si="6"/>
        <v>-0.002355477209</v>
      </c>
      <c r="P75" s="52" t="str">
        <f>IFERROR(__xludf.DUMMYFUNCTION(" SUBSTITUTE(ImportHTML(CONCATENATE(""http://iss.moex.com/iss/engines/stock/markets/shares/boards/TQBR/securities.html?securities="", C75,""&amp;marketdata.columns=LAST&amp;iss.meta=off&amp;iss.only=marketdata""),""table"",1), ""."", "","")"),"0,2008")</f>
        <v>0,2008</v>
      </c>
      <c r="Q75" s="52">
        <f t="shared" si="7"/>
        <v>6024</v>
      </c>
      <c r="R75" s="41">
        <f t="shared" si="8"/>
        <v>-0.1777040963</v>
      </c>
      <c r="S75" s="53">
        <f t="shared" si="9"/>
        <v>-0.3468555891</v>
      </c>
      <c r="T75" s="75"/>
      <c r="U75" s="75"/>
      <c r="V75" s="75"/>
      <c r="W75" s="57">
        <f t="shared" si="10"/>
        <v>187</v>
      </c>
      <c r="X75" s="27">
        <f t="shared" si="11"/>
        <v>0.008467730154</v>
      </c>
    </row>
    <row r="76">
      <c r="B76" s="29">
        <v>44426.0</v>
      </c>
      <c r="C76" s="58" t="str">
        <f>HYPERLINK("https://ru.investing.com/equities/phosagro","PHOR")</f>
        <v>PHOR</v>
      </c>
      <c r="D76" s="31" t="s">
        <v>21</v>
      </c>
      <c r="E76" s="31" t="s">
        <v>24</v>
      </c>
      <c r="F76" s="31">
        <v>4596.0</v>
      </c>
      <c r="G76" s="31">
        <v>1.0</v>
      </c>
      <c r="H76" s="32">
        <f t="shared" si="3"/>
        <v>4596</v>
      </c>
      <c r="I76" s="94">
        <v>13.79</v>
      </c>
      <c r="J76" s="34">
        <f> 156</f>
        <v>156</v>
      </c>
      <c r="K76" s="59"/>
      <c r="L76" s="36">
        <f> 20.27</f>
        <v>20.27</v>
      </c>
      <c r="M76" s="50">
        <f t="shared" si="4"/>
        <v>121.94</v>
      </c>
      <c r="N76" s="38">
        <f t="shared" si="5"/>
        <v>0.02653176675</v>
      </c>
      <c r="O76" s="38">
        <f t="shared" si="6"/>
        <v>0.05178660356</v>
      </c>
      <c r="P76" s="52" t="str">
        <f>IFERROR(__xludf.DUMMYFUNCTION(" SUBSTITUTE(ImportHTML(CONCATENATE(""http://iss.moex.com/iss/engines/stock/markets/shares/boards/TQBR/securities.html?securities="", C76,""&amp;marketdata.columns=LAST&amp;iss.meta=off&amp;iss.only=marketdata""),""table"",1), ""."", "","")"),"5843")</f>
        <v>5843</v>
      </c>
      <c r="Q76" s="39">
        <f t="shared" si="7"/>
        <v>5843</v>
      </c>
      <c r="R76" s="41">
        <f t="shared" si="8"/>
        <v>0.2969636361</v>
      </c>
      <c r="S76" s="60">
        <f t="shared" si="9"/>
        <v>0.5796349047</v>
      </c>
      <c r="T76" s="61"/>
      <c r="U76" s="61"/>
      <c r="V76" s="61"/>
      <c r="W76" s="57">
        <f t="shared" si="10"/>
        <v>187</v>
      </c>
      <c r="X76" s="27">
        <f t="shared" si="11"/>
        <v>0.005318803852</v>
      </c>
    </row>
    <row r="77">
      <c r="B77" s="64">
        <v>44440.0</v>
      </c>
      <c r="C77" s="81" t="s">
        <v>41</v>
      </c>
      <c r="D77" s="66" t="s">
        <v>22</v>
      </c>
      <c r="E77" s="66" t="s">
        <v>25</v>
      </c>
      <c r="F77" s="82">
        <f> 15.6 * 73.1775</f>
        <v>1141.569</v>
      </c>
      <c r="G77" s="66">
        <v>2.0</v>
      </c>
      <c r="H77" s="83">
        <f t="shared" si="3"/>
        <v>2283.138</v>
      </c>
      <c r="I77" s="67">
        <f> 0.1 * 73.1775</f>
        <v>7.31775</v>
      </c>
      <c r="J77" s="84">
        <f> 0.27  * 72.3</f>
        <v>19.521</v>
      </c>
      <c r="K77" s="59"/>
      <c r="L77" s="74"/>
      <c r="M77" s="50">
        <f t="shared" si="4"/>
        <v>12.20325</v>
      </c>
      <c r="N77" s="38">
        <f t="shared" si="5"/>
        <v>0.005344946298</v>
      </c>
      <c r="O77" s="38">
        <f t="shared" si="6"/>
        <v>0.01127690982</v>
      </c>
      <c r="P77" s="85">
        <f>IFERROR(__xludf.DUMMYFUNCTION("googlefinance(C77) * GoogleFinance(""Currency:USDRUB"")"),1240.0723)</f>
        <v>1240.0723</v>
      </c>
      <c r="Q77" s="85">
        <f t="shared" si="7"/>
        <v>2480.1446</v>
      </c>
      <c r="R77" s="41">
        <f t="shared" si="8"/>
        <v>0.09133983488</v>
      </c>
      <c r="S77" s="60">
        <f t="shared" si="9"/>
        <v>0.1927112123</v>
      </c>
      <c r="T77" s="93">
        <f>Q77+Q78+Q79+Q80+Q81</f>
        <v>29770.34138</v>
      </c>
      <c r="U77" s="70">
        <f>(SUM(Q77:Q81) + SUM(M77:M81) - SUM(H77:H81))/SUM(H77:H81)</f>
        <v>0.2060127505</v>
      </c>
      <c r="V77" s="71">
        <f>U77/(TODAY()-B77)*365</f>
        <v>0.4346511788</v>
      </c>
      <c r="W77" s="57">
        <f t="shared" si="10"/>
        <v>173</v>
      </c>
      <c r="X77" s="27">
        <f t="shared" si="11"/>
        <v>0.002642202609</v>
      </c>
    </row>
    <row r="78">
      <c r="B78" s="64">
        <v>44440.0</v>
      </c>
      <c r="C78" s="81" t="s">
        <v>42</v>
      </c>
      <c r="D78" s="66" t="s">
        <v>22</v>
      </c>
      <c r="E78" s="66" t="s">
        <v>26</v>
      </c>
      <c r="F78" s="82">
        <f> 58.05 * 73.1775</f>
        <v>4247.953875</v>
      </c>
      <c r="G78" s="66">
        <v>1.0</v>
      </c>
      <c r="H78" s="83">
        <f t="shared" si="3"/>
        <v>4247.953875</v>
      </c>
      <c r="I78" s="67">
        <f> 0.17 * 73.1775</f>
        <v>12.440175</v>
      </c>
      <c r="J78" s="84">
        <f> 0.6 * 71.26</f>
        <v>42.756</v>
      </c>
      <c r="K78" s="59"/>
      <c r="L78" s="74"/>
      <c r="M78" s="50">
        <f t="shared" si="4"/>
        <v>30.315825</v>
      </c>
      <c r="N78" s="38">
        <f t="shared" si="5"/>
        <v>0.007136571133</v>
      </c>
      <c r="O78" s="38">
        <f t="shared" si="6"/>
        <v>0.01505692754</v>
      </c>
      <c r="P78" s="85">
        <f>IFERROR(__xludf.DUMMYFUNCTION("googlefinance(C78) * GoogleFinance(""Currency:USDRUB"")"),4689.58572)</f>
        <v>4689.58572</v>
      </c>
      <c r="Q78" s="85">
        <f t="shared" si="7"/>
        <v>4689.58572</v>
      </c>
      <c r="R78" s="41">
        <f t="shared" si="8"/>
        <v>0.1107755913</v>
      </c>
      <c r="S78" s="60">
        <f t="shared" si="9"/>
        <v>0.233717288</v>
      </c>
      <c r="T78" s="75"/>
      <c r="U78" s="75"/>
      <c r="V78" s="75"/>
      <c r="W78" s="57">
        <f t="shared" si="10"/>
        <v>173</v>
      </c>
      <c r="X78" s="27">
        <f t="shared" si="11"/>
        <v>0.0049160212</v>
      </c>
    </row>
    <row r="79">
      <c r="B79" s="64">
        <v>44440.0</v>
      </c>
      <c r="C79" s="81" t="s">
        <v>31</v>
      </c>
      <c r="D79" s="66" t="s">
        <v>22</v>
      </c>
      <c r="E79" s="66" t="s">
        <v>32</v>
      </c>
      <c r="F79" s="82">
        <f> 27.47 * 73.1775</f>
        <v>2010.185925</v>
      </c>
      <c r="G79" s="66">
        <v>3.0</v>
      </c>
      <c r="H79" s="83">
        <f t="shared" si="3"/>
        <v>6030.557775</v>
      </c>
      <c r="I79" s="67">
        <f> 0.25 * 73.1775</f>
        <v>18.294375</v>
      </c>
      <c r="J79" s="84">
        <f> 1.4 * 71.26</f>
        <v>99.764</v>
      </c>
      <c r="K79" s="59"/>
      <c r="L79" s="74"/>
      <c r="M79" s="50">
        <f t="shared" si="4"/>
        <v>81.469625</v>
      </c>
      <c r="N79" s="38">
        <f t="shared" si="5"/>
        <v>0.01350946762</v>
      </c>
      <c r="O79" s="38">
        <f t="shared" si="6"/>
        <v>0.028502634</v>
      </c>
      <c r="P79" s="85">
        <f>IFERROR(__xludf.DUMMYFUNCTION("googlefinance(C79) * GoogleFinance(""Currency:USDRUB"")"),1867.54106)</f>
        <v>1867.54106</v>
      </c>
      <c r="Q79" s="85">
        <f t="shared" si="7"/>
        <v>5602.62318</v>
      </c>
      <c r="R79" s="41">
        <f t="shared" si="8"/>
        <v>-0.05727780435</v>
      </c>
      <c r="S79" s="41">
        <f t="shared" si="9"/>
        <v>-0.1208462346</v>
      </c>
      <c r="T79" s="75"/>
      <c r="U79" s="75"/>
      <c r="V79" s="75"/>
      <c r="W79" s="57">
        <f t="shared" si="10"/>
        <v>173</v>
      </c>
      <c r="X79" s="27">
        <f t="shared" si="11"/>
        <v>0.006978971698</v>
      </c>
    </row>
    <row r="80">
      <c r="B80" s="64">
        <v>44440.0</v>
      </c>
      <c r="C80" s="81" t="s">
        <v>33</v>
      </c>
      <c r="D80" s="66" t="s">
        <v>22</v>
      </c>
      <c r="E80" s="66" t="s">
        <v>28</v>
      </c>
      <c r="F80" s="82">
        <f> 55.19 * 73.1775</f>
        <v>4038.666225</v>
      </c>
      <c r="G80" s="66">
        <v>2.0</v>
      </c>
      <c r="H80" s="83">
        <f t="shared" si="3"/>
        <v>8077.33245</v>
      </c>
      <c r="I80" s="67">
        <f> 0.33 * 73.1775</f>
        <v>24.148575</v>
      </c>
      <c r="J80" s="84"/>
      <c r="K80" s="59"/>
      <c r="L80" s="78"/>
      <c r="M80" s="50">
        <f t="shared" si="4"/>
        <v>-24.148575</v>
      </c>
      <c r="N80" s="38">
        <f t="shared" si="5"/>
        <v>-0.002989672042</v>
      </c>
      <c r="O80" s="38">
        <f t="shared" si="6"/>
        <v>-0.006307689568</v>
      </c>
      <c r="P80" s="85">
        <f>IFERROR(__xludf.DUMMYFUNCTION("googlefinance(C80) * GoogleFinance(""Currency:USDRUB"")"),6052.49168)</f>
        <v>6052.49168</v>
      </c>
      <c r="Q80" s="85">
        <f t="shared" si="7"/>
        <v>12104.98336</v>
      </c>
      <c r="R80" s="41">
        <f t="shared" si="8"/>
        <v>0.4941691924</v>
      </c>
      <c r="S80" s="41">
        <f t="shared" si="9"/>
        <v>1.042611302</v>
      </c>
      <c r="T80" s="75"/>
      <c r="U80" s="75"/>
      <c r="V80" s="75"/>
      <c r="W80" s="57">
        <f t="shared" si="10"/>
        <v>173</v>
      </c>
      <c r="X80" s="27">
        <f t="shared" si="11"/>
        <v>0.009347638588</v>
      </c>
    </row>
    <row r="81">
      <c r="B81" s="64">
        <v>44440.0</v>
      </c>
      <c r="C81" s="81" t="s">
        <v>37</v>
      </c>
      <c r="D81" s="66" t="s">
        <v>22</v>
      </c>
      <c r="E81" s="66" t="s">
        <v>38</v>
      </c>
      <c r="F81" s="82">
        <f> 56.59 * 73.1775</f>
        <v>4141.114725</v>
      </c>
      <c r="G81" s="66">
        <v>1.0</v>
      </c>
      <c r="H81" s="83">
        <f t="shared" si="3"/>
        <v>4141.114725</v>
      </c>
      <c r="I81" s="67">
        <f> 0.17 * 73.1775</f>
        <v>12.440175</v>
      </c>
      <c r="J81" s="84">
        <f> 0.38 * 72.03</f>
        <v>27.3714</v>
      </c>
      <c r="K81" s="59"/>
      <c r="L81" s="74"/>
      <c r="M81" s="50">
        <f t="shared" si="4"/>
        <v>14.931225</v>
      </c>
      <c r="N81" s="38">
        <f t="shared" si="5"/>
        <v>0.003605605252</v>
      </c>
      <c r="O81" s="38">
        <f t="shared" si="6"/>
        <v>0.007607201831</v>
      </c>
      <c r="P81" s="85">
        <f>IFERROR(__xludf.DUMMYFUNCTION("googlefinance(C81) * GoogleFinance(""Currency:USDRUB"")"),4893.0045199999995)</f>
        <v>4893.00452</v>
      </c>
      <c r="Q81" s="85">
        <f t="shared" si="7"/>
        <v>4893.00452</v>
      </c>
      <c r="R81" s="41">
        <f t="shared" si="8"/>
        <v>0.1846180052</v>
      </c>
      <c r="S81" s="41">
        <f t="shared" si="9"/>
        <v>0.3895119762</v>
      </c>
      <c r="T81" s="61"/>
      <c r="U81" s="61"/>
      <c r="V81" s="61"/>
      <c r="W81" s="57">
        <f t="shared" si="10"/>
        <v>173</v>
      </c>
      <c r="X81" s="27">
        <f t="shared" si="11"/>
        <v>0.004792379668</v>
      </c>
    </row>
    <row r="82">
      <c r="B82" s="64">
        <v>44461.0</v>
      </c>
      <c r="C82" s="81" t="s">
        <v>43</v>
      </c>
      <c r="D82" s="44" t="s">
        <v>21</v>
      </c>
      <c r="E82" s="44" t="s">
        <v>23</v>
      </c>
      <c r="F82" s="82">
        <v>1330.8</v>
      </c>
      <c r="G82" s="66">
        <v>8.0</v>
      </c>
      <c r="H82" s="83">
        <f t="shared" si="3"/>
        <v>10646.4</v>
      </c>
      <c r="I82" s="67">
        <v>31.94</v>
      </c>
      <c r="J82" s="84"/>
      <c r="K82" s="59"/>
      <c r="L82" s="74"/>
      <c r="M82" s="50">
        <f t="shared" si="4"/>
        <v>-31.94</v>
      </c>
      <c r="N82" s="38">
        <f t="shared" si="5"/>
        <v>-0.003000075143</v>
      </c>
      <c r="O82" s="38">
        <f t="shared" si="6"/>
        <v>-0.00720412781</v>
      </c>
      <c r="P82" s="52" t="str">
        <f>IFERROR(__xludf.DUMMYFUNCTION(" SUBSTITUTE(ImportHTML(CONCATENATE(""http://iss.moex.com/iss/engines/stock/markets/shares/boards/TQBR/securities.html?securities="", C82,""&amp;marketdata.columns=LAST&amp;iss.meta=off&amp;iss.only=marketdata""),""table"",1), ""."", "","")"),"1165,8")</f>
        <v>1165,8</v>
      </c>
      <c r="Q82" s="85">
        <f t="shared" si="7"/>
        <v>9326.4</v>
      </c>
      <c r="R82" s="41">
        <f t="shared" si="8"/>
        <v>-0.1266058208</v>
      </c>
      <c r="S82" s="60">
        <f t="shared" si="9"/>
        <v>-0.3040205564</v>
      </c>
      <c r="T82" s="93">
        <f>Q82+Q83+Q84</f>
        <v>23069.4</v>
      </c>
      <c r="U82" s="70">
        <f>(SUM(Q82:Q84) + SUM(M82:M84) - SUM(H82:H84))/SUM(H82:H84)</f>
        <v>-0.08840337059</v>
      </c>
      <c r="V82" s="71">
        <f>U82/(TODAY()-B82)*365</f>
        <v>-0.2122844096</v>
      </c>
      <c r="W82" s="57">
        <f t="shared" si="10"/>
        <v>152</v>
      </c>
      <c r="X82" s="27">
        <f t="shared" si="11"/>
        <v>0.01232073832</v>
      </c>
    </row>
    <row r="83">
      <c r="B83" s="42">
        <v>44461.0</v>
      </c>
      <c r="C83" s="65" t="str">
        <f>HYPERLINK("https://ru.investing.com/equities/tatneft-p_rts","TATNP")</f>
        <v>TATNP</v>
      </c>
      <c r="D83" s="44" t="s">
        <v>21</v>
      </c>
      <c r="E83" s="44" t="s">
        <v>28</v>
      </c>
      <c r="F83" s="44">
        <v>464.2</v>
      </c>
      <c r="G83" s="44">
        <v>14.0</v>
      </c>
      <c r="H83" s="45">
        <f t="shared" si="3"/>
        <v>6498.8</v>
      </c>
      <c r="I83" s="90">
        <v>19.5</v>
      </c>
      <c r="J83" s="47">
        <f> 231.28</f>
        <v>231.28</v>
      </c>
      <c r="K83" s="48"/>
      <c r="L83" s="49">
        <f> 30.05</f>
        <v>30.05</v>
      </c>
      <c r="M83" s="50">
        <f t="shared" si="4"/>
        <v>181.73</v>
      </c>
      <c r="N83" s="51">
        <f t="shared" si="5"/>
        <v>0.02796362405</v>
      </c>
      <c r="O83" s="51">
        <f t="shared" si="6"/>
        <v>0.06714949197</v>
      </c>
      <c r="P83" s="52" t="str">
        <f>IFERROR(__xludf.DUMMYFUNCTION(" SUBSTITUTE(ImportHTML(CONCATENATE(""http://iss.moex.com/iss/engines/stock/markets/shares/boards/TQBR/securities.html?securities="", C83,""&amp;marketdata.columns=LAST&amp;iss.meta=off&amp;iss.only=marketdata""),""table"",1), ""."", "","")"),"407,6")</f>
        <v>407,6</v>
      </c>
      <c r="Q83" s="52">
        <f t="shared" si="7"/>
        <v>5706.4</v>
      </c>
      <c r="R83" s="41">
        <f t="shared" si="8"/>
        <v>-0.09368547014</v>
      </c>
      <c r="S83" s="53">
        <f t="shared" si="9"/>
        <v>-0.2249683987</v>
      </c>
      <c r="T83" s="75"/>
      <c r="U83" s="75"/>
      <c r="V83" s="75"/>
      <c r="W83" s="57">
        <f t="shared" si="10"/>
        <v>152</v>
      </c>
      <c r="X83" s="27">
        <f t="shared" si="11"/>
        <v>0.007520853454</v>
      </c>
    </row>
    <row r="84">
      <c r="B84" s="64">
        <v>44461.0</v>
      </c>
      <c r="C84" s="65" t="str">
        <f>HYPERLINK("https://ru.investing.com/equities/lsr-group_rts","LSRG")</f>
        <v>LSRG</v>
      </c>
      <c r="D84" s="66" t="s">
        <v>21</v>
      </c>
      <c r="E84" s="66" t="s">
        <v>27</v>
      </c>
      <c r="F84" s="82">
        <v>754.4</v>
      </c>
      <c r="G84" s="66">
        <v>11.0</v>
      </c>
      <c r="H84" s="83">
        <f t="shared" si="3"/>
        <v>8298.4</v>
      </c>
      <c r="I84" s="67">
        <v>24.89</v>
      </c>
      <c r="J84" s="68"/>
      <c r="K84" s="59"/>
      <c r="L84" s="69"/>
      <c r="M84" s="50">
        <f t="shared" si="4"/>
        <v>-24.89</v>
      </c>
      <c r="N84" s="38">
        <f t="shared" si="5"/>
        <v>-0.002999373373</v>
      </c>
      <c r="O84" s="38">
        <f t="shared" si="6"/>
        <v>-0.00720244264</v>
      </c>
      <c r="P84" s="52" t="str">
        <f>IFERROR(__xludf.DUMMYFUNCTION(" SUBSTITUTE(ImportHTML(CONCATENATE(""http://iss.moex.com/iss/engines/stock/markets/shares/boards/TQBR/securities.html?securities="", C84,""&amp;marketdata.columns=LAST&amp;iss.meta=off&amp;iss.only=marketdata""),""table"",1), ""."", "","")"),"730,6")</f>
        <v>730,6</v>
      </c>
      <c r="Q84" s="85">
        <f t="shared" si="7"/>
        <v>8036.6</v>
      </c>
      <c r="R84" s="41">
        <f t="shared" si="8"/>
        <v>-0.03444431229</v>
      </c>
      <c r="S84" s="41">
        <f t="shared" si="9"/>
        <v>-0.08271167095</v>
      </c>
      <c r="T84" s="61"/>
      <c r="U84" s="61"/>
      <c r="V84" s="61"/>
      <c r="W84" s="57">
        <f t="shared" si="10"/>
        <v>152</v>
      </c>
      <c r="X84" s="27">
        <f t="shared" si="11"/>
        <v>0.009603472996</v>
      </c>
    </row>
    <row r="85">
      <c r="B85" s="64">
        <v>44475.0</v>
      </c>
      <c r="C85" s="81" t="s">
        <v>35</v>
      </c>
      <c r="D85" s="66" t="s">
        <v>22</v>
      </c>
      <c r="E85" s="66" t="s">
        <v>36</v>
      </c>
      <c r="F85" s="82">
        <f> 109.33 * 72.55</f>
        <v>7931.8915</v>
      </c>
      <c r="G85" s="66">
        <v>1.0</v>
      </c>
      <c r="H85" s="83">
        <f t="shared" si="3"/>
        <v>7931.8915</v>
      </c>
      <c r="I85" s="67">
        <f> 0.33 * 72.55</f>
        <v>23.9415</v>
      </c>
      <c r="J85" s="84"/>
      <c r="K85" s="59"/>
      <c r="L85" s="74"/>
      <c r="M85" s="50">
        <f t="shared" si="4"/>
        <v>-23.9415</v>
      </c>
      <c r="N85" s="38">
        <f t="shared" si="5"/>
        <v>-0.003018384707</v>
      </c>
      <c r="O85" s="38">
        <f t="shared" si="6"/>
        <v>-0.007983408826</v>
      </c>
      <c r="P85" s="85">
        <f>IFERROR(__xludf.DUMMYFUNCTION("googlefinance(C85) * GoogleFinance(""Currency:USDRUB"")"),11268.61914)</f>
        <v>11268.61914</v>
      </c>
      <c r="Q85" s="85">
        <f t="shared" si="7"/>
        <v>11268.61914</v>
      </c>
      <c r="R85" s="41">
        <f t="shared" si="8"/>
        <v>0.4163971441</v>
      </c>
      <c r="S85" s="60">
        <f t="shared" si="9"/>
        <v>1.101340272</v>
      </c>
      <c r="T85" s="86">
        <f>SUM(Q85:Q88)</f>
        <v>29583.35256</v>
      </c>
      <c r="U85" s="70">
        <f>(SUM(Q85:Q88) + SUM(M85:M88) - SUM(H85:H88))/SUM(H85:H88)</f>
        <v>0.2965389456</v>
      </c>
      <c r="V85" s="70">
        <f>U85/(TODAY()-B85)*365</f>
        <v>0.7843240227</v>
      </c>
      <c r="W85" s="57">
        <f t="shared" si="10"/>
        <v>138</v>
      </c>
      <c r="X85" s="27">
        <f t="shared" si="11"/>
        <v>0.009179324427</v>
      </c>
    </row>
    <row r="86">
      <c r="B86" s="64">
        <v>44475.0</v>
      </c>
      <c r="C86" s="81" t="s">
        <v>42</v>
      </c>
      <c r="D86" s="66" t="s">
        <v>22</v>
      </c>
      <c r="E86" s="66" t="s">
        <v>26</v>
      </c>
      <c r="F86" s="82">
        <f> 55.39 * 72.55</f>
        <v>4018.5445</v>
      </c>
      <c r="G86" s="66">
        <v>1.0</v>
      </c>
      <c r="H86" s="83">
        <f t="shared" si="3"/>
        <v>4018.5445</v>
      </c>
      <c r="I86" s="67">
        <f> 0.17 * 72.55</f>
        <v>12.3335</v>
      </c>
      <c r="J86" s="84"/>
      <c r="K86" s="59"/>
      <c r="L86" s="74"/>
      <c r="M86" s="50">
        <f t="shared" si="4"/>
        <v>-12.3335</v>
      </c>
      <c r="N86" s="38">
        <f t="shared" si="5"/>
        <v>-0.003069146055</v>
      </c>
      <c r="O86" s="38">
        <f t="shared" si="6"/>
        <v>-0.008117668914</v>
      </c>
      <c r="P86" s="85">
        <f>IFERROR(__xludf.DUMMYFUNCTION("googlefinance(C86) * GoogleFinance(""Currency:USDRUB"")"),4689.58572)</f>
        <v>4689.58572</v>
      </c>
      <c r="Q86" s="85">
        <f t="shared" si="7"/>
        <v>4689.58572</v>
      </c>
      <c r="R86" s="41">
        <f t="shared" si="8"/>
        <v>0.1634154445</v>
      </c>
      <c r="S86" s="60">
        <f t="shared" si="9"/>
        <v>0.4322220089</v>
      </c>
      <c r="T86" s="75"/>
      <c r="U86" s="75"/>
      <c r="V86" s="75"/>
      <c r="W86" s="57">
        <f t="shared" si="10"/>
        <v>138</v>
      </c>
      <c r="X86" s="27">
        <f t="shared" si="11"/>
        <v>0.004650533065</v>
      </c>
    </row>
    <row r="87">
      <c r="B87" s="64">
        <v>44475.0</v>
      </c>
      <c r="C87" s="81" t="s">
        <v>40</v>
      </c>
      <c r="D87" s="66" t="s">
        <v>22</v>
      </c>
      <c r="E87" s="66" t="s">
        <v>38</v>
      </c>
      <c r="F87" s="82">
        <f> 96.17 * 72.55</f>
        <v>6977.1335</v>
      </c>
      <c r="G87" s="66">
        <v>1.0</v>
      </c>
      <c r="H87" s="83">
        <f t="shared" si="3"/>
        <v>6977.1335</v>
      </c>
      <c r="I87" s="67">
        <f> 0.29 * 72.55</f>
        <v>21.0395</v>
      </c>
      <c r="J87" s="68"/>
      <c r="K87" s="59"/>
      <c r="L87" s="74"/>
      <c r="M87" s="50">
        <f t="shared" si="4"/>
        <v>-21.0395</v>
      </c>
      <c r="N87" s="38">
        <f t="shared" si="5"/>
        <v>-0.003015493397</v>
      </c>
      <c r="O87" s="38">
        <f t="shared" si="6"/>
        <v>-0.007975761521</v>
      </c>
      <c r="P87" s="85">
        <f>IFERROR(__xludf.DUMMYFUNCTION("googlefinance(C87) * GoogleFinance(""Currency:USDRUB"")"),8732.14318)</f>
        <v>8732.14318</v>
      </c>
      <c r="Q87" s="85">
        <f t="shared" si="7"/>
        <v>8732.14318</v>
      </c>
      <c r="R87" s="41">
        <f t="shared" si="8"/>
        <v>0.2477746949</v>
      </c>
      <c r="S87" s="41">
        <f t="shared" si="9"/>
        <v>0.6553461133</v>
      </c>
      <c r="T87" s="75"/>
      <c r="U87" s="75"/>
      <c r="V87" s="75"/>
      <c r="W87" s="57">
        <f t="shared" si="10"/>
        <v>138</v>
      </c>
      <c r="X87" s="27">
        <f t="shared" si="11"/>
        <v>0.00807441352</v>
      </c>
    </row>
    <row r="88">
      <c r="B88" s="64">
        <v>44475.0</v>
      </c>
      <c r="C88" s="81" t="s">
        <v>37</v>
      </c>
      <c r="D88" s="66" t="s">
        <v>22</v>
      </c>
      <c r="E88" s="66" t="s">
        <v>38</v>
      </c>
      <c r="F88" s="82">
        <f> 52.88 * 72.55</f>
        <v>3836.444</v>
      </c>
      <c r="G88" s="66">
        <v>1.0</v>
      </c>
      <c r="H88" s="83">
        <f t="shared" si="3"/>
        <v>3836.444</v>
      </c>
      <c r="I88" s="67">
        <f> 0.16 * 72.55</f>
        <v>11.608</v>
      </c>
      <c r="J88" s="84"/>
      <c r="K88" s="59"/>
      <c r="L88" s="78"/>
      <c r="M88" s="50">
        <f t="shared" si="4"/>
        <v>-11.608</v>
      </c>
      <c r="N88" s="38">
        <f t="shared" si="5"/>
        <v>-0.003025718608</v>
      </c>
      <c r="O88" s="38">
        <f t="shared" si="6"/>
        <v>-0.008002806464</v>
      </c>
      <c r="P88" s="85">
        <f>IFERROR(__xludf.DUMMYFUNCTION("googlefinance(C88) * GoogleFinance(""Currency:USDRUB"")"),4893.0045199999995)</f>
        <v>4893.00452</v>
      </c>
      <c r="Q88" s="85">
        <f t="shared" si="7"/>
        <v>4893.00452</v>
      </c>
      <c r="R88" s="41">
        <f t="shared" si="8"/>
        <v>0.271553638</v>
      </c>
      <c r="S88" s="41">
        <f t="shared" si="9"/>
        <v>0.7182396948</v>
      </c>
      <c r="T88" s="61"/>
      <c r="U88" s="61"/>
      <c r="V88" s="61"/>
      <c r="W88" s="57">
        <f t="shared" si="10"/>
        <v>138</v>
      </c>
      <c r="X88" s="27">
        <f t="shared" si="11"/>
        <v>0.004439793979</v>
      </c>
    </row>
    <row r="89">
      <c r="B89" s="64">
        <v>44503.0</v>
      </c>
      <c r="C89" s="81" t="s">
        <v>31</v>
      </c>
      <c r="D89" s="66" t="s">
        <v>22</v>
      </c>
      <c r="E89" s="66" t="s">
        <v>32</v>
      </c>
      <c r="F89" s="82">
        <f> 25.29 * 71.515</f>
        <v>1808.61435</v>
      </c>
      <c r="G89" s="66">
        <v>6.0</v>
      </c>
      <c r="H89" s="83">
        <f t="shared" si="3"/>
        <v>10851.6861</v>
      </c>
      <c r="I89" s="67">
        <f> 0.46 * 71.515</f>
        <v>32.8969</v>
      </c>
      <c r="J89" s="68"/>
      <c r="K89" s="59"/>
      <c r="L89" s="74"/>
      <c r="M89" s="50">
        <f t="shared" si="4"/>
        <v>-32.8969</v>
      </c>
      <c r="N89" s="38">
        <f t="shared" si="5"/>
        <v>-0.003031501252</v>
      </c>
      <c r="O89" s="38">
        <f t="shared" si="6"/>
        <v>-0.01005907234</v>
      </c>
      <c r="P89" s="85">
        <f>IFERROR(__xludf.DUMMYFUNCTION("googlefinance(C89) * GoogleFinance(""Currency:USDRUB"")"),1867.54106)</f>
        <v>1867.54106</v>
      </c>
      <c r="Q89" s="85">
        <f t="shared" si="7"/>
        <v>11205.24636</v>
      </c>
      <c r="R89" s="41">
        <f t="shared" si="8"/>
        <v>0.02946032567</v>
      </c>
      <c r="S89" s="41">
        <f t="shared" si="9"/>
        <v>0.09775471701</v>
      </c>
      <c r="T89" s="93">
        <f>Q89+Q90+Q91+Q92+Q93</f>
        <v>51568.43086</v>
      </c>
      <c r="U89" s="70">
        <f>(SUM(Q89:Q93) + SUM(M89:M93) - SUM(H89:H93))/SUM(H89:H93)</f>
        <v>-0.02630264392</v>
      </c>
      <c r="V89" s="71">
        <f>U89/(TODAY()-B89)*365</f>
        <v>-0.08727695481</v>
      </c>
      <c r="W89" s="57">
        <f t="shared" si="10"/>
        <v>110</v>
      </c>
      <c r="X89" s="27">
        <f t="shared" si="11"/>
        <v>0.01255830936</v>
      </c>
    </row>
    <row r="90">
      <c r="B90" s="64">
        <v>44503.0</v>
      </c>
      <c r="C90" s="81" t="s">
        <v>39</v>
      </c>
      <c r="D90" s="66" t="s">
        <v>22</v>
      </c>
      <c r="E90" s="66" t="s">
        <v>32</v>
      </c>
      <c r="F90" s="82">
        <f> 126.34 * 71.515</f>
        <v>9035.2051</v>
      </c>
      <c r="G90" s="66">
        <v>1.0</v>
      </c>
      <c r="H90" s="83">
        <f t="shared" si="3"/>
        <v>9035.2051</v>
      </c>
      <c r="I90" s="67">
        <f> 0.38 * 71.515</f>
        <v>27.1757</v>
      </c>
      <c r="J90" s="84"/>
      <c r="K90" s="59"/>
      <c r="L90" s="74"/>
      <c r="M90" s="50">
        <f t="shared" si="4"/>
        <v>-27.1757</v>
      </c>
      <c r="N90" s="38">
        <f t="shared" si="5"/>
        <v>-0.003007756847</v>
      </c>
      <c r="O90" s="38">
        <f t="shared" si="6"/>
        <v>-0.009980284082</v>
      </c>
      <c r="P90" s="85">
        <f>IFERROR(__xludf.DUMMYFUNCTION("googlefinance(C90) * GoogleFinance(""Currency:USDRUB"")"),9728.8953)</f>
        <v>9728.8953</v>
      </c>
      <c r="Q90" s="85">
        <f t="shared" si="7"/>
        <v>9728.8953</v>
      </c>
      <c r="R90" s="41">
        <f t="shared" si="8"/>
        <v>0.07354739496</v>
      </c>
      <c r="S90" s="41">
        <f t="shared" si="9"/>
        <v>0.2440436287</v>
      </c>
      <c r="T90" s="75"/>
      <c r="U90" s="75"/>
      <c r="V90" s="75"/>
      <c r="W90" s="57">
        <f t="shared" si="10"/>
        <v>110</v>
      </c>
      <c r="X90" s="27">
        <f t="shared" si="11"/>
        <v>0.01045615398</v>
      </c>
    </row>
    <row r="91">
      <c r="B91" s="64">
        <v>44503.0</v>
      </c>
      <c r="C91" s="81" t="s">
        <v>41</v>
      </c>
      <c r="D91" s="66" t="s">
        <v>22</v>
      </c>
      <c r="E91" s="66" t="s">
        <v>25</v>
      </c>
      <c r="F91" s="82">
        <f> 15.87 * 71.515</f>
        <v>1134.94305</v>
      </c>
      <c r="G91" s="66">
        <v>4.0</v>
      </c>
      <c r="H91" s="83">
        <f t="shared" si="3"/>
        <v>4539.7722</v>
      </c>
      <c r="I91" s="67">
        <f> 0.2 * 71.515</f>
        <v>14.303</v>
      </c>
      <c r="J91" s="84"/>
      <c r="K91" s="59"/>
      <c r="L91" s="74"/>
      <c r="M91" s="50">
        <f t="shared" si="4"/>
        <v>-14.303</v>
      </c>
      <c r="N91" s="38">
        <f t="shared" si="5"/>
        <v>-0.003150598614</v>
      </c>
      <c r="O91" s="38">
        <f t="shared" si="6"/>
        <v>-0.01045425904</v>
      </c>
      <c r="P91" s="85">
        <f>IFERROR(__xludf.DUMMYFUNCTION("googlefinance(C91) * GoogleFinance(""Currency:USDRUB"")"),1240.0723)</f>
        <v>1240.0723</v>
      </c>
      <c r="Q91" s="85">
        <f t="shared" si="7"/>
        <v>4960.2892</v>
      </c>
      <c r="R91" s="41">
        <f t="shared" si="8"/>
        <v>0.08919791223</v>
      </c>
      <c r="S91" s="60">
        <f t="shared" si="9"/>
        <v>0.2959748906</v>
      </c>
      <c r="T91" s="75"/>
      <c r="U91" s="75"/>
      <c r="V91" s="75"/>
      <c r="W91" s="57">
        <f t="shared" si="10"/>
        <v>110</v>
      </c>
      <c r="X91" s="27">
        <f t="shared" si="11"/>
        <v>0.005253733217</v>
      </c>
    </row>
    <row r="92">
      <c r="B92" s="42">
        <v>44503.0</v>
      </c>
      <c r="C92" s="43" t="str">
        <f>HYPERLINK("https://ru.investing.com/equities/gmk-noril-nickel_rts","GMKN")</f>
        <v>GMKN</v>
      </c>
      <c r="D92" s="44" t="s">
        <v>21</v>
      </c>
      <c r="E92" s="44" t="s">
        <v>23</v>
      </c>
      <c r="F92" s="44">
        <v>22118.0</v>
      </c>
      <c r="G92" s="44">
        <v>1.0</v>
      </c>
      <c r="H92" s="45">
        <f t="shared" si="3"/>
        <v>22118</v>
      </c>
      <c r="I92" s="90">
        <v>66.35</v>
      </c>
      <c r="J92" s="47"/>
      <c r="K92" s="48"/>
      <c r="L92" s="49"/>
      <c r="M92" s="50">
        <f t="shared" si="4"/>
        <v>-66.35</v>
      </c>
      <c r="N92" s="51">
        <f t="shared" si="5"/>
        <v>-0.002999819152</v>
      </c>
      <c r="O92" s="51">
        <f t="shared" si="6"/>
        <v>-0.009953945367</v>
      </c>
      <c r="P92" s="52" t="str">
        <f>IFERROR(__xludf.DUMMYFUNCTION(" SUBSTITUTE(ImportHTML(CONCATENATE(""http://iss.moex.com/iss/engines/stock/markets/shares/boards/TQBR/securities.html?securities="", C92,""&amp;marketdata.columns=LAST&amp;iss.meta=off&amp;iss.only=marketdata""),""table"",1), ""."", "","")"),"20454")</f>
        <v>20454</v>
      </c>
      <c r="Q92" s="52">
        <f t="shared" si="7"/>
        <v>20454</v>
      </c>
      <c r="R92" s="41">
        <f t="shared" si="8"/>
        <v>-0.07799867925</v>
      </c>
      <c r="S92" s="53">
        <f t="shared" si="9"/>
        <v>-0.2588137993</v>
      </c>
      <c r="T92" s="75"/>
      <c r="U92" s="75"/>
      <c r="V92" s="75"/>
      <c r="W92" s="57">
        <f t="shared" si="10"/>
        <v>110</v>
      </c>
      <c r="X92" s="27">
        <f t="shared" si="11"/>
        <v>0.02559645422</v>
      </c>
    </row>
    <row r="93">
      <c r="B93" s="42">
        <v>44503.0</v>
      </c>
      <c r="C93" s="65" t="str">
        <f>HYPERLINK("https://ru.investing.com/equities/mts_rts","MTSS")</f>
        <v>MTSS</v>
      </c>
      <c r="D93" s="44" t="s">
        <v>21</v>
      </c>
      <c r="E93" s="44" t="s">
        <v>30</v>
      </c>
      <c r="F93" s="44">
        <v>312.65</v>
      </c>
      <c r="G93" s="44">
        <v>20.0</v>
      </c>
      <c r="H93" s="45">
        <f t="shared" si="3"/>
        <v>6253</v>
      </c>
      <c r="I93" s="90">
        <v>18.76</v>
      </c>
      <c r="J93" s="47"/>
      <c r="K93" s="48"/>
      <c r="L93" s="49"/>
      <c r="M93" s="50">
        <f t="shared" si="4"/>
        <v>-18.76</v>
      </c>
      <c r="N93" s="51">
        <f t="shared" si="5"/>
        <v>-0.003000159923</v>
      </c>
      <c r="O93" s="51">
        <f t="shared" si="6"/>
        <v>-0.009955076109</v>
      </c>
      <c r="P93" s="52" t="str">
        <f>IFERROR(__xludf.DUMMYFUNCTION(" SUBSTITUTE(ImportHTML(CONCATENATE(""http://iss.moex.com/iss/engines/stock/markets/shares/boards/TQBR/securities.html?securities="", C93,""&amp;marketdata.columns=LAST&amp;iss.meta=off&amp;iss.only=marketdata""),""table"",1), ""."", "","")"),"261")</f>
        <v>261</v>
      </c>
      <c r="Q93" s="52">
        <f t="shared" si="7"/>
        <v>5220</v>
      </c>
      <c r="R93" s="41">
        <f t="shared" si="8"/>
        <v>-0.1676977435</v>
      </c>
      <c r="S93" s="53">
        <f t="shared" si="9"/>
        <v>-0.5564516036</v>
      </c>
      <c r="T93" s="61"/>
      <c r="U93" s="61"/>
      <c r="V93" s="61"/>
      <c r="W93" s="57">
        <f t="shared" si="10"/>
        <v>110</v>
      </c>
      <c r="X93" s="27">
        <f t="shared" si="11"/>
        <v>0.007236396973</v>
      </c>
    </row>
    <row r="95">
      <c r="W95" s="95">
        <f>SUMPRODUCT(W6:W93, X6:X93)</f>
        <v>378.921783</v>
      </c>
    </row>
    <row r="96">
      <c r="W96" s="96">
        <f>today() - round(W95,0)</f>
        <v>44234</v>
      </c>
    </row>
  </sheetData>
  <mergeCells count="63">
    <mergeCell ref="U57:U59"/>
    <mergeCell ref="V57:V59"/>
    <mergeCell ref="T46:T50"/>
    <mergeCell ref="U46:U50"/>
    <mergeCell ref="V46:V50"/>
    <mergeCell ref="T52:T56"/>
    <mergeCell ref="U52:U56"/>
    <mergeCell ref="V52:V56"/>
    <mergeCell ref="T57:T59"/>
    <mergeCell ref="U66:U68"/>
    <mergeCell ref="V66:V68"/>
    <mergeCell ref="T60:T62"/>
    <mergeCell ref="U60:U62"/>
    <mergeCell ref="V60:V62"/>
    <mergeCell ref="T63:T65"/>
    <mergeCell ref="U63:U65"/>
    <mergeCell ref="V63:V65"/>
    <mergeCell ref="T66:T68"/>
    <mergeCell ref="U77:U81"/>
    <mergeCell ref="V77:V81"/>
    <mergeCell ref="T71:T73"/>
    <mergeCell ref="U71:U73"/>
    <mergeCell ref="V71:V73"/>
    <mergeCell ref="T74:T76"/>
    <mergeCell ref="U74:U76"/>
    <mergeCell ref="V74:V76"/>
    <mergeCell ref="T77:T81"/>
    <mergeCell ref="U14:U15"/>
    <mergeCell ref="V14:V15"/>
    <mergeCell ref="T6:T7"/>
    <mergeCell ref="U6:U7"/>
    <mergeCell ref="V6:V7"/>
    <mergeCell ref="T8:T10"/>
    <mergeCell ref="U8:U10"/>
    <mergeCell ref="V8:V10"/>
    <mergeCell ref="T14:T15"/>
    <mergeCell ref="U28:U29"/>
    <mergeCell ref="V28:V29"/>
    <mergeCell ref="T17:T18"/>
    <mergeCell ref="U17:U18"/>
    <mergeCell ref="V17:V18"/>
    <mergeCell ref="T20:T27"/>
    <mergeCell ref="U20:U27"/>
    <mergeCell ref="V20:V27"/>
    <mergeCell ref="T28:T29"/>
    <mergeCell ref="U43:U45"/>
    <mergeCell ref="V43:V45"/>
    <mergeCell ref="T30:T36"/>
    <mergeCell ref="U30:U36"/>
    <mergeCell ref="V30:V36"/>
    <mergeCell ref="T39:T42"/>
    <mergeCell ref="U39:U42"/>
    <mergeCell ref="V39:V42"/>
    <mergeCell ref="T43:T45"/>
    <mergeCell ref="U89:U93"/>
    <mergeCell ref="V89:V93"/>
    <mergeCell ref="T82:T84"/>
    <mergeCell ref="U82:U84"/>
    <mergeCell ref="V82:V84"/>
    <mergeCell ref="T85:T88"/>
    <mergeCell ref="U85:U88"/>
    <mergeCell ref="V85:V88"/>
    <mergeCell ref="T89:T93"/>
  </mergeCells>
  <conditionalFormatting sqref="N4:N93">
    <cfRule type="colorScale" priority="1">
      <colorScale>
        <cfvo type="formula" val="0"/>
        <cfvo type="formula" val="1"/>
        <color rgb="FFFFFFFF"/>
        <color rgb="FF57BB8A"/>
      </colorScale>
    </cfRule>
  </conditionalFormatting>
  <conditionalFormatting sqref="S4:S93">
    <cfRule type="colorScale" priority="2">
      <colorScale>
        <cfvo type="formula" val="0"/>
        <cfvo type="formula" val="0.06"/>
        <cfvo type="formula" val="0.5"/>
        <color rgb="FFE67C73"/>
        <color rgb="FFFFFFFF"/>
        <color rgb="FF57BB8A"/>
      </colorScale>
    </cfRule>
  </conditionalFormatting>
  <conditionalFormatting sqref="V1:V1020">
    <cfRule type="colorScale" priority="3">
      <colorScale>
        <cfvo type="formula" val="0"/>
        <cfvo type="formula" val="0.06"/>
        <cfvo type="formula" val="0.5"/>
        <color rgb="FFE67C73"/>
        <color rgb="FFFFFFFF"/>
        <color rgb="FF57BB8A"/>
      </colorScale>
    </cfRule>
  </conditionalFormatting>
  <conditionalFormatting sqref="R4:R93 U39:U41 U46:U48 U52:U54 U85:U87">
    <cfRule type="colorScale" priority="4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U4:U27 U37:U38 U43:U45 U51 U57:U79 U82:U87 U89:U91">
    <cfRule type="colorScale" priority="5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O3:O93">
    <cfRule type="colorScale" priority="6">
      <colorScale>
        <cfvo type="formula" val="0"/>
        <cfvo type="formula" val="0.05"/>
        <cfvo type="formula" val="0.1"/>
        <color rgb="FFE67C73"/>
        <color rgb="FFFFFFFF"/>
        <color rgb="FF57BB8A"/>
      </colorScale>
    </cfRule>
  </conditionalFormatting>
  <conditionalFormatting sqref="H6:H93">
    <cfRule type="colorScale" priority="7">
      <colorScale>
        <cfvo type="min"/>
        <cfvo type="max"/>
        <color rgb="FFFFFFFF"/>
        <color rgb="FFFFD666"/>
      </colorScale>
    </cfRule>
  </conditionalFormatting>
  <hyperlinks>
    <hyperlink r:id="rId1" ref="C2"/>
    <hyperlink r:id="rId2" ref="C15"/>
    <hyperlink r:id="rId3" ref="C16"/>
    <hyperlink r:id="rId4" ref="C17"/>
    <hyperlink r:id="rId5" ref="C18"/>
    <hyperlink r:id="rId6" ref="C20"/>
    <hyperlink r:id="rId7" ref="C21"/>
    <hyperlink r:id="rId8" ref="C22"/>
    <hyperlink r:id="rId9" ref="C28"/>
    <hyperlink r:id="rId10" ref="C29"/>
    <hyperlink r:id="rId11" ref="C30"/>
    <hyperlink r:id="rId12" ref="C37"/>
    <hyperlink r:id="rId13" ref="C38"/>
    <hyperlink r:id="rId14" ref="C39"/>
    <hyperlink r:id="rId15" ref="C40"/>
    <hyperlink r:id="rId16" ref="C41"/>
    <hyperlink r:id="rId17" ref="C43"/>
    <hyperlink r:id="rId18" ref="C44"/>
    <hyperlink r:id="rId19" ref="C45"/>
    <hyperlink r:id="rId20" ref="C46"/>
    <hyperlink r:id="rId21" ref="C47"/>
    <hyperlink r:id="rId22" ref="C48"/>
    <hyperlink r:id="rId23" ref="C49"/>
    <hyperlink r:id="rId24" ref="C50"/>
    <hyperlink r:id="rId25" ref="C51"/>
    <hyperlink r:id="rId26" ref="C52"/>
    <hyperlink r:id="rId27" ref="C57"/>
    <hyperlink r:id="rId28" ref="C58"/>
    <hyperlink r:id="rId29" ref="C59"/>
    <hyperlink r:id="rId30" ref="C60"/>
    <hyperlink r:id="rId31" ref="C61"/>
    <hyperlink r:id="rId32" ref="C62"/>
    <hyperlink r:id="rId33" ref="C63"/>
    <hyperlink r:id="rId34" ref="C64"/>
    <hyperlink r:id="rId35" ref="C65"/>
    <hyperlink r:id="rId36" ref="C66"/>
    <hyperlink r:id="rId37" ref="C67"/>
    <hyperlink r:id="rId38" ref="C68"/>
    <hyperlink r:id="rId39" ref="C69"/>
    <hyperlink r:id="rId40" ref="C70"/>
    <hyperlink r:id="rId41" ref="C71"/>
    <hyperlink r:id="rId42" ref="C72"/>
    <hyperlink r:id="rId43" ref="C73"/>
    <hyperlink r:id="rId44" ref="C74"/>
    <hyperlink r:id="rId45" ref="C77"/>
    <hyperlink r:id="rId46" ref="C78"/>
    <hyperlink r:id="rId47" ref="C79"/>
    <hyperlink r:id="rId48" ref="C80"/>
    <hyperlink r:id="rId49" ref="C81"/>
    <hyperlink r:id="rId50" ref="C82"/>
    <hyperlink r:id="rId51" ref="C85"/>
    <hyperlink r:id="rId52" ref="C86"/>
    <hyperlink r:id="rId53" ref="C87"/>
    <hyperlink r:id="rId54" ref="C88"/>
    <hyperlink r:id="rId55" ref="C89"/>
    <hyperlink r:id="rId56" ref="C90"/>
    <hyperlink r:id="rId57" ref="C91"/>
  </hyperlinks>
  <drawing r:id="rId58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.29"/>
    <col customWidth="1" min="2" max="2" width="7.43"/>
    <col customWidth="1" min="3" max="5" width="6.43"/>
    <col customWidth="1" min="6" max="7" width="7.43"/>
    <col customWidth="1" min="8" max="8" width="7.57"/>
    <col customWidth="1" min="9" max="9" width="12.43"/>
    <col customWidth="1" min="10" max="10" width="9.57"/>
    <col customWidth="1" min="11" max="11" width="7.57"/>
  </cols>
  <sheetData>
    <row r="1">
      <c r="A1" s="66" t="s">
        <v>107</v>
      </c>
      <c r="B1" s="310" t="s">
        <v>99</v>
      </c>
      <c r="C1" s="310" t="s">
        <v>104</v>
      </c>
      <c r="D1" s="310" t="s">
        <v>105</v>
      </c>
      <c r="E1" s="310" t="s">
        <v>106</v>
      </c>
      <c r="F1" s="311" t="s">
        <v>81</v>
      </c>
      <c r="G1" s="312" t="s">
        <v>108</v>
      </c>
      <c r="H1" s="310" t="s">
        <v>19</v>
      </c>
      <c r="I1" s="310" t="s">
        <v>109</v>
      </c>
      <c r="J1" s="311" t="s">
        <v>110</v>
      </c>
    </row>
    <row r="2">
      <c r="A2" s="179">
        <v>2019.0</v>
      </c>
      <c r="B2" s="289">
        <f> sum(Monthly!B2:B4)</f>
        <v>110000</v>
      </c>
      <c r="C2" s="289">
        <f> sum(Monthly!C2:C4)</f>
        <v>956.93</v>
      </c>
      <c r="D2" s="289">
        <f> sum(Monthly!D2:D4)</f>
        <v>0</v>
      </c>
      <c r="E2" s="289">
        <f> sum(Monthly!E2:E4)</f>
        <v>6833.39</v>
      </c>
      <c r="F2" s="313">
        <f t="shared" ref="F2:F4" si="1">sum(B2:E2)</f>
        <v>117790.32</v>
      </c>
      <c r="G2" s="314">
        <f t="shared" ref="G2:G4" si="2">sum(C2:E2)</f>
        <v>7790.32</v>
      </c>
      <c r="H2" s="290">
        <f t="shared" ref="H2:H4" si="3">G2/B2</f>
        <v>0.07082109091</v>
      </c>
      <c r="I2" s="289">
        <f t="shared" ref="I2:I4" si="4">SUM(G$2:G2)</f>
        <v>7790.32</v>
      </c>
      <c r="J2" s="315">
        <f t="shared" ref="J2:J4" si="5">I2/SUM(B$2:B2)</f>
        <v>0.07082109091</v>
      </c>
      <c r="K2" s="27"/>
    </row>
    <row r="3">
      <c r="A3" s="179">
        <v>2020.0</v>
      </c>
      <c r="B3" s="289">
        <f>sum(Monthly!B5:B16)</f>
        <v>275000</v>
      </c>
      <c r="C3" s="289">
        <f>sum(Monthly!C5:C16)</f>
        <v>9846.0141</v>
      </c>
      <c r="D3" s="289">
        <f>sum(Monthly!D5:D16)</f>
        <v>14300</v>
      </c>
      <c r="E3" s="289">
        <f>sum(Monthly!E5:E16)</f>
        <v>4160.6659</v>
      </c>
      <c r="F3" s="313">
        <f t="shared" si="1"/>
        <v>303306.68</v>
      </c>
      <c r="G3" s="314">
        <f t="shared" si="2"/>
        <v>28306.68</v>
      </c>
      <c r="H3" s="290">
        <f t="shared" si="3"/>
        <v>0.1029333818</v>
      </c>
      <c r="I3" s="289">
        <f t="shared" si="4"/>
        <v>36097</v>
      </c>
      <c r="J3" s="315">
        <f t="shared" si="5"/>
        <v>0.09375844156</v>
      </c>
      <c r="K3" s="27"/>
    </row>
    <row r="4">
      <c r="A4" s="166">
        <v>2021.0</v>
      </c>
      <c r="B4" s="316">
        <f>sum(Monthly!B17:B28)</f>
        <v>450000</v>
      </c>
      <c r="C4" s="316">
        <f>sum(Monthly!C17:C28)</f>
        <v>32813.7693</v>
      </c>
      <c r="D4" s="316">
        <f>sum(Monthly!D17:D28)</f>
        <v>37610</v>
      </c>
      <c r="E4" s="316">
        <f>sum(Monthly!E17:E28)</f>
        <v>60715.3765</v>
      </c>
      <c r="F4" s="317">
        <f t="shared" si="1"/>
        <v>581139.1458</v>
      </c>
      <c r="G4" s="318">
        <f t="shared" si="2"/>
        <v>131139.1458</v>
      </c>
      <c r="H4" s="319">
        <f t="shared" si="3"/>
        <v>0.291420324</v>
      </c>
      <c r="I4" s="316">
        <f t="shared" si="4"/>
        <v>167236.1458</v>
      </c>
      <c r="J4" s="320">
        <f t="shared" si="5"/>
        <v>0.2002828093</v>
      </c>
      <c r="K4" s="27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0.71"/>
    <col customWidth="1" min="2" max="2" width="11.14"/>
    <col customWidth="1" min="3" max="3" width="8.14"/>
    <col customWidth="1" min="4" max="4" width="8.29"/>
    <col customWidth="1" min="5" max="5" width="7.71"/>
    <col customWidth="1" min="6" max="6" width="12.14"/>
    <col customWidth="1" min="7" max="7" width="12.43"/>
  </cols>
  <sheetData>
    <row r="1">
      <c r="A1" s="18" t="s">
        <v>3</v>
      </c>
      <c r="B1" s="18" t="s">
        <v>4</v>
      </c>
      <c r="C1" s="18" t="s">
        <v>5</v>
      </c>
      <c r="D1" s="18" t="s">
        <v>9</v>
      </c>
      <c r="E1" s="18" t="s">
        <v>13</v>
      </c>
      <c r="F1" s="18" t="s">
        <v>111</v>
      </c>
      <c r="G1" s="18" t="s">
        <v>112</v>
      </c>
    </row>
    <row r="2">
      <c r="A2" s="321">
        <v>43753.0</v>
      </c>
      <c r="B2" s="322" t="s">
        <v>65</v>
      </c>
      <c r="C2" s="18" t="s">
        <v>21</v>
      </c>
      <c r="D2" s="18">
        <v>883.93</v>
      </c>
      <c r="E2" s="18">
        <v>115.0</v>
      </c>
      <c r="F2" s="18">
        <v>1.0</v>
      </c>
      <c r="G2" s="104">
        <f t="shared" ref="G2:G60" si="1"> (D2-E2) * F2</f>
        <v>768.93</v>
      </c>
    </row>
    <row r="3">
      <c r="A3" s="321">
        <v>43769.0</v>
      </c>
      <c r="B3" s="322" t="s">
        <v>64</v>
      </c>
      <c r="C3" s="18" t="s">
        <v>21</v>
      </c>
      <c r="D3" s="18">
        <v>216.0</v>
      </c>
      <c r="E3" s="18">
        <v>28.0</v>
      </c>
      <c r="F3" s="18">
        <v>1.0</v>
      </c>
      <c r="G3" s="104">
        <f t="shared" si="1"/>
        <v>188</v>
      </c>
    </row>
    <row r="4">
      <c r="A4" s="21">
        <v>43845.0</v>
      </c>
      <c r="B4" s="322" t="s">
        <v>65</v>
      </c>
      <c r="C4" s="18" t="s">
        <v>21</v>
      </c>
      <c r="D4" s="18">
        <v>604.09</v>
      </c>
      <c r="E4" s="18">
        <v>79.0</v>
      </c>
      <c r="F4" s="18">
        <v>1.0</v>
      </c>
      <c r="G4" s="104">
        <f t="shared" si="1"/>
        <v>525.09</v>
      </c>
    </row>
    <row r="5">
      <c r="A5" s="21">
        <v>43847.0</v>
      </c>
      <c r="B5" s="18" t="s">
        <v>68</v>
      </c>
      <c r="C5" s="18" t="s">
        <v>21</v>
      </c>
      <c r="D5" s="18">
        <v>397.5</v>
      </c>
      <c r="E5" s="18">
        <v>49.0</v>
      </c>
      <c r="F5" s="18">
        <v>1.0</v>
      </c>
      <c r="G5" s="104">
        <f t="shared" si="1"/>
        <v>348.5</v>
      </c>
    </row>
    <row r="6">
      <c r="A6" s="21">
        <v>43851.0</v>
      </c>
      <c r="B6" s="18" t="s">
        <v>67</v>
      </c>
      <c r="C6" s="18" t="s">
        <v>21</v>
      </c>
      <c r="D6" s="18">
        <v>584.64</v>
      </c>
      <c r="E6" s="18">
        <v>76.0</v>
      </c>
      <c r="F6" s="18">
        <v>1.0</v>
      </c>
      <c r="G6" s="104">
        <f t="shared" si="1"/>
        <v>508.64</v>
      </c>
    </row>
    <row r="7">
      <c r="A7" s="21">
        <v>43857.0</v>
      </c>
      <c r="B7" s="18" t="s">
        <v>34</v>
      </c>
      <c r="C7" s="18" t="s">
        <v>21</v>
      </c>
      <c r="D7" s="18">
        <v>816.2</v>
      </c>
      <c r="E7" s="18">
        <v>106.0</v>
      </c>
      <c r="F7" s="18">
        <v>1.0</v>
      </c>
      <c r="G7" s="104">
        <f t="shared" si="1"/>
        <v>710.2</v>
      </c>
    </row>
    <row r="8">
      <c r="A8" s="21">
        <v>43878.0</v>
      </c>
      <c r="B8" s="18" t="s">
        <v>64</v>
      </c>
      <c r="C8" s="18" t="s">
        <v>21</v>
      </c>
      <c r="D8" s="18">
        <v>192.0</v>
      </c>
      <c r="E8" s="18">
        <v>25.0</v>
      </c>
      <c r="F8" s="18">
        <v>1.0</v>
      </c>
      <c r="G8" s="104">
        <f t="shared" si="1"/>
        <v>167</v>
      </c>
    </row>
    <row r="9">
      <c r="A9" s="21">
        <v>43966.0</v>
      </c>
      <c r="B9" s="18" t="s">
        <v>66</v>
      </c>
      <c r="C9" s="18" t="s">
        <v>21</v>
      </c>
      <c r="D9" s="18">
        <v>690.0</v>
      </c>
      <c r="E9" s="18">
        <v>90.0</v>
      </c>
      <c r="F9" s="18">
        <v>1.0</v>
      </c>
      <c r="G9" s="104">
        <f t="shared" si="1"/>
        <v>600</v>
      </c>
    </row>
    <row r="10">
      <c r="A10" s="21">
        <v>43986.0</v>
      </c>
      <c r="B10" s="18" t="s">
        <v>65</v>
      </c>
      <c r="C10" s="18" t="s">
        <v>21</v>
      </c>
      <c r="D10" s="18">
        <v>557.2</v>
      </c>
      <c r="E10" s="18">
        <v>72.0</v>
      </c>
      <c r="F10" s="18">
        <v>1.0</v>
      </c>
      <c r="G10" s="104">
        <f t="shared" si="1"/>
        <v>485.2</v>
      </c>
      <c r="J10" s="104"/>
    </row>
    <row r="11">
      <c r="A11" s="21">
        <v>43999.0</v>
      </c>
      <c r="B11" s="18" t="s">
        <v>64</v>
      </c>
      <c r="C11" s="18" t="s">
        <v>21</v>
      </c>
      <c r="D11" s="18">
        <v>72.0</v>
      </c>
      <c r="E11" s="18">
        <v>9.0</v>
      </c>
      <c r="F11" s="18">
        <v>1.0</v>
      </c>
      <c r="G11" s="104">
        <f t="shared" si="1"/>
        <v>63</v>
      </c>
      <c r="J11" s="104"/>
    </row>
    <row r="12">
      <c r="A12" s="21">
        <v>44027.0</v>
      </c>
      <c r="B12" s="18" t="s">
        <v>67</v>
      </c>
      <c r="C12" s="18" t="s">
        <v>21</v>
      </c>
      <c r="D12" s="18">
        <v>24.0</v>
      </c>
      <c r="E12" s="18">
        <v>2.0</v>
      </c>
      <c r="F12" s="18">
        <v>1.0</v>
      </c>
      <c r="G12" s="104">
        <f t="shared" si="1"/>
        <v>22</v>
      </c>
    </row>
    <row r="13">
      <c r="A13" s="21">
        <v>44029.0</v>
      </c>
      <c r="B13" s="18" t="s">
        <v>68</v>
      </c>
      <c r="C13" s="18" t="s">
        <v>21</v>
      </c>
      <c r="D13" s="18">
        <v>617.1</v>
      </c>
      <c r="E13" s="18">
        <v>80.0</v>
      </c>
      <c r="F13" s="18">
        <v>1.0</v>
      </c>
      <c r="G13" s="104">
        <f t="shared" si="1"/>
        <v>537.1</v>
      </c>
    </row>
    <row r="14">
      <c r="A14" s="21">
        <v>44029.0</v>
      </c>
      <c r="B14" s="18" t="s">
        <v>64</v>
      </c>
      <c r="C14" s="18" t="s">
        <v>21</v>
      </c>
      <c r="D14" s="18">
        <v>312.0</v>
      </c>
      <c r="E14" s="18">
        <v>41.0</v>
      </c>
      <c r="F14" s="18">
        <v>1.0</v>
      </c>
      <c r="G14" s="104">
        <f t="shared" si="1"/>
        <v>271</v>
      </c>
    </row>
    <row r="15">
      <c r="A15" s="21">
        <v>44055.0</v>
      </c>
      <c r="B15" s="18" t="s">
        <v>70</v>
      </c>
      <c r="C15" s="18" t="s">
        <v>21</v>
      </c>
      <c r="D15" s="18">
        <v>2295.0</v>
      </c>
      <c r="E15" s="18">
        <v>298.0</v>
      </c>
      <c r="F15" s="18">
        <v>1.0</v>
      </c>
      <c r="G15" s="104">
        <f t="shared" si="1"/>
        <v>1997</v>
      </c>
    </row>
    <row r="16">
      <c r="A16" s="321">
        <v>44118.0</v>
      </c>
      <c r="B16" s="18" t="s">
        <v>66</v>
      </c>
      <c r="C16" s="18" t="s">
        <v>21</v>
      </c>
      <c r="D16" s="18">
        <v>460.0</v>
      </c>
      <c r="E16" s="18">
        <v>60.0</v>
      </c>
      <c r="F16" s="18">
        <v>1.0</v>
      </c>
      <c r="G16" s="104">
        <f t="shared" si="1"/>
        <v>400</v>
      </c>
    </row>
    <row r="17">
      <c r="A17" s="321">
        <v>44124.0</v>
      </c>
      <c r="B17" s="18" t="s">
        <v>68</v>
      </c>
      <c r="C17" s="18" t="s">
        <v>21</v>
      </c>
      <c r="D17" s="18">
        <v>446.5</v>
      </c>
      <c r="E17" s="18">
        <v>55.0</v>
      </c>
      <c r="F17" s="18">
        <v>1.0</v>
      </c>
      <c r="G17" s="104">
        <f t="shared" si="1"/>
        <v>391.5</v>
      </c>
    </row>
    <row r="18">
      <c r="A18" s="321">
        <v>44125.0</v>
      </c>
      <c r="B18" s="18" t="s">
        <v>69</v>
      </c>
      <c r="C18" s="18" t="s">
        <v>21</v>
      </c>
      <c r="D18" s="18">
        <v>1309.0</v>
      </c>
      <c r="E18" s="18">
        <v>169.0</v>
      </c>
      <c r="F18" s="18">
        <v>1.0</v>
      </c>
      <c r="G18" s="104">
        <f t="shared" si="1"/>
        <v>1140</v>
      </c>
    </row>
    <row r="19">
      <c r="A19" s="321">
        <v>44131.0</v>
      </c>
      <c r="B19" s="18" t="s">
        <v>67</v>
      </c>
      <c r="C19" s="18" t="s">
        <v>21</v>
      </c>
      <c r="D19" s="18">
        <v>238.56</v>
      </c>
      <c r="E19" s="18">
        <v>31.0</v>
      </c>
      <c r="F19" s="18">
        <v>1.0</v>
      </c>
      <c r="G19" s="104">
        <f t="shared" si="1"/>
        <v>207.56</v>
      </c>
    </row>
    <row r="20">
      <c r="A20" s="321">
        <v>44133.0</v>
      </c>
      <c r="B20" s="18" t="s">
        <v>64</v>
      </c>
      <c r="C20" s="18" t="s">
        <v>21</v>
      </c>
      <c r="D20" s="18">
        <v>132.0</v>
      </c>
      <c r="E20" s="18">
        <v>17.0</v>
      </c>
      <c r="F20" s="18">
        <v>1.0</v>
      </c>
      <c r="G20" s="104">
        <f t="shared" si="1"/>
        <v>115</v>
      </c>
    </row>
    <row r="21">
      <c r="A21" s="21">
        <v>44144.0</v>
      </c>
      <c r="B21" s="18" t="s">
        <v>31</v>
      </c>
      <c r="C21" s="18" t="s">
        <v>22</v>
      </c>
      <c r="D21" s="18">
        <v>2.81</v>
      </c>
      <c r="F21" s="18">
        <v>76.2856</v>
      </c>
      <c r="G21" s="104">
        <f t="shared" si="1"/>
        <v>214.362536</v>
      </c>
    </row>
    <row r="22">
      <c r="A22" s="321">
        <v>44180.0</v>
      </c>
      <c r="B22" s="18" t="s">
        <v>33</v>
      </c>
      <c r="C22" s="18" t="s">
        <v>22</v>
      </c>
      <c r="D22" s="18">
        <v>2.35</v>
      </c>
      <c r="F22" s="57">
        <v>73.3135</v>
      </c>
      <c r="G22" s="104">
        <f t="shared" si="1"/>
        <v>172.286725</v>
      </c>
    </row>
    <row r="23">
      <c r="A23" s="321">
        <v>44195.0</v>
      </c>
      <c r="B23" s="18" t="s">
        <v>64</v>
      </c>
      <c r="C23" s="18" t="s">
        <v>21</v>
      </c>
      <c r="D23" s="18">
        <v>492.0</v>
      </c>
      <c r="E23" s="18">
        <v>64.0</v>
      </c>
      <c r="F23" s="18">
        <v>1.0</v>
      </c>
      <c r="G23" s="104">
        <f t="shared" si="1"/>
        <v>428</v>
      </c>
    </row>
    <row r="24">
      <c r="A24" s="321">
        <v>44195.0</v>
      </c>
      <c r="B24" s="18" t="s">
        <v>65</v>
      </c>
      <c r="C24" s="18" t="s">
        <v>21</v>
      </c>
      <c r="D24" s="18">
        <v>623.35</v>
      </c>
      <c r="E24" s="18">
        <v>81.0</v>
      </c>
      <c r="F24" s="18">
        <v>1.0</v>
      </c>
      <c r="G24" s="104">
        <f t="shared" si="1"/>
        <v>542.35</v>
      </c>
    </row>
    <row r="25">
      <c r="A25" s="21">
        <v>44231.0</v>
      </c>
      <c r="B25" s="18" t="s">
        <v>31</v>
      </c>
      <c r="C25" s="18" t="s">
        <v>22</v>
      </c>
      <c r="D25" s="18">
        <v>6.55</v>
      </c>
      <c r="F25" s="57">
        <v>75.5257</v>
      </c>
      <c r="G25" s="104">
        <f t="shared" si="1"/>
        <v>494.693335</v>
      </c>
    </row>
    <row r="26">
      <c r="A26" s="21">
        <v>44246.0</v>
      </c>
      <c r="B26" s="18" t="s">
        <v>35</v>
      </c>
      <c r="C26" s="18" t="s">
        <v>22</v>
      </c>
      <c r="D26" s="18">
        <v>4.68</v>
      </c>
      <c r="F26" s="18">
        <v>74.1116</v>
      </c>
      <c r="G26" s="104">
        <f t="shared" si="1"/>
        <v>346.842288</v>
      </c>
    </row>
    <row r="27">
      <c r="A27" s="21">
        <v>44271.0</v>
      </c>
      <c r="B27" s="18" t="s">
        <v>39</v>
      </c>
      <c r="C27" s="18" t="s">
        <v>22</v>
      </c>
      <c r="D27" s="18">
        <v>2.93</v>
      </c>
      <c r="F27" s="18">
        <v>72.8728</v>
      </c>
      <c r="G27" s="104">
        <f t="shared" si="1"/>
        <v>213.517304</v>
      </c>
    </row>
    <row r="28">
      <c r="A28" s="21">
        <v>44273.0</v>
      </c>
      <c r="B28" s="18" t="s">
        <v>33</v>
      </c>
      <c r="C28" s="18" t="s">
        <v>22</v>
      </c>
      <c r="D28" s="18">
        <v>7.83</v>
      </c>
      <c r="F28" s="18">
        <v>74.3129</v>
      </c>
      <c r="G28" s="104">
        <f t="shared" si="1"/>
        <v>581.870007</v>
      </c>
    </row>
    <row r="29">
      <c r="A29" s="21">
        <v>44293.0</v>
      </c>
      <c r="B29" s="18" t="s">
        <v>37</v>
      </c>
      <c r="C29" s="18" t="s">
        <v>22</v>
      </c>
      <c r="D29" s="18">
        <v>3.78</v>
      </c>
      <c r="F29" s="18">
        <v>76.9759</v>
      </c>
      <c r="G29" s="104">
        <f t="shared" si="1"/>
        <v>290.968902</v>
      </c>
    </row>
    <row r="30">
      <c r="A30" s="21">
        <v>44312.0</v>
      </c>
      <c r="B30" s="18" t="s">
        <v>40</v>
      </c>
      <c r="C30" s="18" t="s">
        <v>22</v>
      </c>
      <c r="D30" s="18">
        <f>3.42 + 0.16</f>
        <v>3.58</v>
      </c>
      <c r="F30" s="18">
        <v>75.0048</v>
      </c>
      <c r="G30" s="104">
        <f t="shared" si="1"/>
        <v>268.517184</v>
      </c>
    </row>
    <row r="31">
      <c r="A31" s="21">
        <v>44329.0</v>
      </c>
      <c r="B31" s="18" t="s">
        <v>31</v>
      </c>
      <c r="C31" s="18" t="s">
        <v>22</v>
      </c>
      <c r="D31" s="18">
        <v>8.42</v>
      </c>
      <c r="F31" s="18">
        <v>74.0554</v>
      </c>
      <c r="G31" s="104">
        <f t="shared" si="1"/>
        <v>623.546468</v>
      </c>
    </row>
    <row r="32">
      <c r="A32" s="21">
        <v>44335.0</v>
      </c>
      <c r="B32" s="18" t="s">
        <v>66</v>
      </c>
      <c r="C32" s="18" t="s">
        <v>21</v>
      </c>
      <c r="D32" s="18">
        <v>2028.0</v>
      </c>
      <c r="E32" s="18">
        <v>264.0</v>
      </c>
      <c r="F32" s="18">
        <v>1.0</v>
      </c>
      <c r="G32" s="104">
        <f t="shared" si="1"/>
        <v>1764</v>
      </c>
    </row>
    <row r="33">
      <c r="A33" s="21">
        <v>44335.0</v>
      </c>
      <c r="B33" s="18" t="s">
        <v>35</v>
      </c>
      <c r="C33" s="18" t="s">
        <v>22</v>
      </c>
      <c r="D33" s="18">
        <v>5.85</v>
      </c>
      <c r="F33" s="18">
        <v>73.7722</v>
      </c>
      <c r="G33" s="104">
        <f t="shared" si="1"/>
        <v>431.56737</v>
      </c>
    </row>
    <row r="34">
      <c r="A34" s="21">
        <v>44347.0</v>
      </c>
      <c r="B34" s="18" t="s">
        <v>69</v>
      </c>
      <c r="C34" s="18" t="s">
        <v>21</v>
      </c>
      <c r="D34" s="18">
        <v>2992.0</v>
      </c>
      <c r="E34" s="18">
        <v>389.0</v>
      </c>
      <c r="F34" s="18">
        <v>1.0</v>
      </c>
      <c r="G34" s="104">
        <f t="shared" si="1"/>
        <v>2603</v>
      </c>
    </row>
    <row r="35">
      <c r="A35" s="21">
        <v>44355.0</v>
      </c>
      <c r="B35" s="18" t="s">
        <v>65</v>
      </c>
      <c r="C35" s="18" t="s">
        <v>21</v>
      </c>
      <c r="D35" s="304">
        <v>2042.44</v>
      </c>
      <c r="E35" s="304">
        <v>266.0</v>
      </c>
      <c r="F35" s="18">
        <v>1.0</v>
      </c>
      <c r="G35" s="104">
        <f t="shared" si="1"/>
        <v>1776.44</v>
      </c>
    </row>
    <row r="36">
      <c r="A36" s="21">
        <v>44365.0</v>
      </c>
      <c r="B36" s="18" t="s">
        <v>39</v>
      </c>
      <c r="C36" s="18" t="s">
        <v>22</v>
      </c>
      <c r="D36" s="322">
        <v>7.38</v>
      </c>
      <c r="E36" s="304"/>
      <c r="F36" s="18">
        <v>72.2</v>
      </c>
      <c r="G36" s="104">
        <f t="shared" si="1"/>
        <v>532.836</v>
      </c>
    </row>
    <row r="37">
      <c r="A37" s="321">
        <v>44368.0</v>
      </c>
      <c r="B37" s="18" t="s">
        <v>64</v>
      </c>
      <c r="C37" s="18" t="s">
        <v>21</v>
      </c>
      <c r="D37" s="18">
        <v>630.0</v>
      </c>
      <c r="E37" s="18">
        <v>82.0</v>
      </c>
      <c r="F37" s="18">
        <v>1.0</v>
      </c>
      <c r="G37" s="104">
        <f t="shared" si="1"/>
        <v>548</v>
      </c>
    </row>
    <row r="38">
      <c r="A38" s="21">
        <v>44370.0</v>
      </c>
      <c r="B38" s="18" t="s">
        <v>33</v>
      </c>
      <c r="C38" s="18" t="s">
        <v>22</v>
      </c>
      <c r="D38" s="18">
        <v>8.61</v>
      </c>
      <c r="F38" s="18">
        <v>72.77</v>
      </c>
      <c r="G38" s="104">
        <f t="shared" si="1"/>
        <v>626.5497</v>
      </c>
    </row>
    <row r="39">
      <c r="A39" s="321">
        <v>44379.0</v>
      </c>
      <c r="B39" s="18" t="s">
        <v>34</v>
      </c>
      <c r="C39" s="18" t="s">
        <v>21</v>
      </c>
      <c r="D39" s="18">
        <v>4407.45</v>
      </c>
      <c r="E39" s="18">
        <v>573.0</v>
      </c>
      <c r="F39" s="18">
        <v>1.0</v>
      </c>
      <c r="G39" s="104">
        <f t="shared" si="1"/>
        <v>3834.45</v>
      </c>
    </row>
    <row r="40">
      <c r="A40" s="21">
        <v>44384.0</v>
      </c>
      <c r="B40" s="18" t="s">
        <v>37</v>
      </c>
      <c r="C40" s="18" t="s">
        <v>22</v>
      </c>
      <c r="D40" s="18">
        <v>4.53</v>
      </c>
      <c r="F40" s="18">
        <v>73.96</v>
      </c>
      <c r="G40" s="104">
        <f t="shared" si="1"/>
        <v>335.0388</v>
      </c>
    </row>
    <row r="41">
      <c r="A41" s="321">
        <v>44396.0</v>
      </c>
      <c r="B41" s="18" t="s">
        <v>64</v>
      </c>
      <c r="C41" s="18" t="s">
        <v>21</v>
      </c>
      <c r="D41" s="18">
        <v>1050.0</v>
      </c>
      <c r="E41" s="18">
        <v>137.0</v>
      </c>
      <c r="F41" s="18">
        <v>1.0</v>
      </c>
      <c r="G41" s="104">
        <f t="shared" si="1"/>
        <v>913</v>
      </c>
    </row>
    <row r="42">
      <c r="A42" s="321">
        <v>44400.0</v>
      </c>
      <c r="B42" s="18" t="s">
        <v>68</v>
      </c>
      <c r="C42" s="18" t="s">
        <v>21</v>
      </c>
      <c r="D42" s="18">
        <v>3976.5</v>
      </c>
      <c r="E42" s="18">
        <v>484.0</v>
      </c>
      <c r="F42" s="18">
        <v>1.0</v>
      </c>
      <c r="G42" s="104">
        <f t="shared" si="1"/>
        <v>3492.5</v>
      </c>
    </row>
    <row r="43">
      <c r="A43" s="21">
        <v>44404.0</v>
      </c>
      <c r="B43" s="18" t="s">
        <v>70</v>
      </c>
      <c r="C43" s="18" t="s">
        <v>21</v>
      </c>
      <c r="D43" s="18">
        <v>102.0</v>
      </c>
      <c r="E43" s="18">
        <v>13.0</v>
      </c>
      <c r="F43" s="18">
        <v>1.0</v>
      </c>
      <c r="G43" s="104">
        <f t="shared" si="1"/>
        <v>89</v>
      </c>
    </row>
    <row r="44">
      <c r="A44" s="321">
        <v>44406.0</v>
      </c>
      <c r="B44" s="18" t="s">
        <v>67</v>
      </c>
      <c r="C44" s="18" t="s">
        <v>21</v>
      </c>
      <c r="D44" s="18">
        <v>1254.6</v>
      </c>
      <c r="E44" s="18">
        <v>163.0</v>
      </c>
      <c r="F44" s="18">
        <v>1.0</v>
      </c>
      <c r="G44" s="104">
        <f t="shared" si="1"/>
        <v>1091.6</v>
      </c>
    </row>
    <row r="45">
      <c r="A45" s="21">
        <v>44407.0</v>
      </c>
      <c r="B45" s="18" t="s">
        <v>40</v>
      </c>
      <c r="C45" s="18" t="s">
        <v>22</v>
      </c>
      <c r="D45" s="18">
        <v>8.36</v>
      </c>
      <c r="F45" s="18">
        <v>73.15</v>
      </c>
      <c r="G45" s="104">
        <f t="shared" si="1"/>
        <v>611.534</v>
      </c>
    </row>
    <row r="46">
      <c r="A46" s="21">
        <v>44411.0</v>
      </c>
      <c r="B46" s="18" t="s">
        <v>41</v>
      </c>
      <c r="C46" s="18" t="s">
        <v>22</v>
      </c>
      <c r="D46" s="18">
        <v>3.78</v>
      </c>
      <c r="F46" s="18">
        <v>72.9</v>
      </c>
      <c r="G46" s="104">
        <f t="shared" si="1"/>
        <v>275.562</v>
      </c>
    </row>
    <row r="47">
      <c r="A47" s="21">
        <v>44414.0</v>
      </c>
      <c r="B47" s="18" t="s">
        <v>42</v>
      </c>
      <c r="C47" s="18" t="s">
        <v>22</v>
      </c>
      <c r="D47" s="18">
        <v>4.77</v>
      </c>
      <c r="F47" s="18">
        <v>73.69</v>
      </c>
      <c r="G47" s="104">
        <f t="shared" si="1"/>
        <v>351.5013</v>
      </c>
    </row>
    <row r="48">
      <c r="A48" s="21">
        <v>44417.0</v>
      </c>
      <c r="B48" s="18" t="s">
        <v>31</v>
      </c>
      <c r="C48" s="18" t="s">
        <v>22</v>
      </c>
      <c r="D48" s="18">
        <v>9.83</v>
      </c>
      <c r="F48" s="18">
        <v>73.5</v>
      </c>
      <c r="G48" s="104">
        <f t="shared" si="1"/>
        <v>722.505</v>
      </c>
    </row>
    <row r="49">
      <c r="A49" s="21">
        <v>44431.0</v>
      </c>
      <c r="B49" s="18" t="s">
        <v>35</v>
      </c>
      <c r="C49" s="18" t="s">
        <v>22</v>
      </c>
      <c r="D49" s="18">
        <v>7.02</v>
      </c>
      <c r="F49" s="18">
        <v>74.02</v>
      </c>
      <c r="G49" s="104">
        <f t="shared" si="1"/>
        <v>519.6204</v>
      </c>
    </row>
    <row r="50">
      <c r="A50" s="323">
        <v>44455.0</v>
      </c>
      <c r="B50" s="324" t="s">
        <v>39</v>
      </c>
      <c r="C50" s="324" t="s">
        <v>22</v>
      </c>
      <c r="D50" s="325">
        <v>7.38</v>
      </c>
      <c r="E50" s="326"/>
      <c r="F50" s="327">
        <v>72.37</v>
      </c>
      <c r="G50" s="325">
        <f t="shared" si="1"/>
        <v>534.0906</v>
      </c>
    </row>
    <row r="51">
      <c r="A51" s="21">
        <v>44456.0</v>
      </c>
      <c r="B51" s="18" t="s">
        <v>33</v>
      </c>
      <c r="C51" s="18" t="s">
        <v>22</v>
      </c>
      <c r="D51" s="18">
        <v>8.61</v>
      </c>
      <c r="F51" s="18">
        <v>72.54</v>
      </c>
      <c r="G51" s="104">
        <f t="shared" si="1"/>
        <v>624.5694</v>
      </c>
    </row>
    <row r="52">
      <c r="A52" s="21">
        <v>44474.0</v>
      </c>
      <c r="B52" s="18" t="s">
        <v>43</v>
      </c>
      <c r="C52" s="18" t="s">
        <v>22</v>
      </c>
      <c r="D52" s="18">
        <v>14.4</v>
      </c>
      <c r="F52" s="18">
        <v>72.6075</v>
      </c>
      <c r="G52" s="104">
        <f t="shared" si="1"/>
        <v>1045.548</v>
      </c>
    </row>
    <row r="53">
      <c r="A53" s="21">
        <v>44476.0</v>
      </c>
      <c r="B53" s="18" t="s">
        <v>41</v>
      </c>
      <c r="C53" s="18" t="s">
        <v>22</v>
      </c>
      <c r="D53" s="18">
        <v>6.21</v>
      </c>
      <c r="F53" s="18">
        <v>72.3</v>
      </c>
      <c r="G53" s="104">
        <f t="shared" si="1"/>
        <v>448.983</v>
      </c>
    </row>
    <row r="54">
      <c r="A54" s="21">
        <v>44477.0</v>
      </c>
      <c r="B54" s="18" t="s">
        <v>37</v>
      </c>
      <c r="C54" s="18" t="s">
        <v>22</v>
      </c>
      <c r="D54" s="18">
        <v>4.91</v>
      </c>
      <c r="F54" s="18">
        <v>72.03</v>
      </c>
      <c r="G54" s="104">
        <f t="shared" si="1"/>
        <v>353.6673</v>
      </c>
    </row>
    <row r="55">
      <c r="A55" s="321">
        <v>44480.0</v>
      </c>
      <c r="B55" s="18" t="s">
        <v>64</v>
      </c>
      <c r="C55" s="18" t="s">
        <v>21</v>
      </c>
      <c r="D55" s="18">
        <f> 1560+156</f>
        <v>1716</v>
      </c>
      <c r="E55" s="18">
        <v>223.0</v>
      </c>
      <c r="F55" s="18">
        <v>1.0</v>
      </c>
      <c r="G55" s="104">
        <f t="shared" si="1"/>
        <v>1493</v>
      </c>
    </row>
    <row r="56">
      <c r="A56" s="321">
        <v>44496.0</v>
      </c>
      <c r="B56" s="18" t="s">
        <v>68</v>
      </c>
      <c r="C56" s="18" t="s">
        <v>21</v>
      </c>
      <c r="D56" s="18">
        <v>1582.5</v>
      </c>
      <c r="E56" s="18">
        <v>195.0</v>
      </c>
      <c r="F56" s="18">
        <v>1.0</v>
      </c>
      <c r="G56" s="104">
        <f t="shared" si="1"/>
        <v>1387.5</v>
      </c>
    </row>
    <row r="57">
      <c r="A57" s="321">
        <v>44501.0</v>
      </c>
      <c r="B57" s="18" t="s">
        <v>67</v>
      </c>
      <c r="C57" s="18" t="s">
        <v>21</v>
      </c>
      <c r="D57" s="18">
        <f> 1685.04 + 231.28</f>
        <v>1916.32</v>
      </c>
      <c r="E57" s="18">
        <v>249.0</v>
      </c>
      <c r="F57" s="18">
        <v>1.0</v>
      </c>
      <c r="G57" s="104">
        <f t="shared" si="1"/>
        <v>1667.32</v>
      </c>
      <c r="J57" s="328"/>
    </row>
    <row r="58">
      <c r="A58" s="21">
        <v>44502.0</v>
      </c>
      <c r="B58" s="18" t="s">
        <v>40</v>
      </c>
      <c r="C58" s="18" t="s">
        <v>22</v>
      </c>
      <c r="D58" s="18">
        <v>8.71</v>
      </c>
      <c r="F58" s="18">
        <v>71.5</v>
      </c>
      <c r="G58" s="104">
        <f t="shared" si="1"/>
        <v>622.765</v>
      </c>
    </row>
    <row r="59">
      <c r="A59" s="21">
        <v>44509.0</v>
      </c>
      <c r="B59" s="18" t="s">
        <v>42</v>
      </c>
      <c r="C59" s="18" t="s">
        <v>22</v>
      </c>
      <c r="D59" s="18">
        <v>7.16</v>
      </c>
      <c r="F59" s="18">
        <v>71.26</v>
      </c>
      <c r="G59" s="104">
        <f t="shared" si="1"/>
        <v>510.2216</v>
      </c>
    </row>
    <row r="60">
      <c r="A60" s="21">
        <v>44509.0</v>
      </c>
      <c r="B60" s="18" t="s">
        <v>31</v>
      </c>
      <c r="C60" s="18" t="s">
        <v>22</v>
      </c>
      <c r="D60" s="18">
        <v>12.17</v>
      </c>
      <c r="F60" s="18">
        <v>71.26</v>
      </c>
      <c r="G60" s="104">
        <f t="shared" si="1"/>
        <v>867.2342</v>
      </c>
    </row>
  </sheetData>
  <autoFilter ref="$A$1:$G$6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57"/>
    <col customWidth="1" min="2" max="2" width="10.71"/>
    <col customWidth="1" min="3" max="3" width="7.43"/>
    <col customWidth="1" min="4" max="4" width="7.57"/>
    <col customWidth="1" min="5" max="6" width="10.71"/>
    <col customWidth="1" min="8" max="8" width="7.57"/>
    <col customWidth="1" min="9" max="9" width="10.71"/>
    <col customWidth="1" min="10" max="11" width="7.43"/>
    <col customWidth="1" min="12" max="13" width="7.57"/>
  </cols>
  <sheetData>
    <row r="1">
      <c r="A1" s="18"/>
      <c r="B1" s="18"/>
      <c r="C1" s="18"/>
      <c r="D1" s="18"/>
      <c r="E1" s="18"/>
      <c r="F1" s="18"/>
      <c r="I1" s="18"/>
      <c r="J1" s="18"/>
      <c r="K1" s="18"/>
      <c r="L1" s="18"/>
      <c r="M1" s="18"/>
    </row>
    <row r="2">
      <c r="A2" s="18"/>
      <c r="B2" s="18" t="s">
        <v>113</v>
      </c>
      <c r="C2" s="18" t="s">
        <v>114</v>
      </c>
      <c r="D2" s="18" t="s">
        <v>115</v>
      </c>
      <c r="E2" s="18" t="s">
        <v>116</v>
      </c>
      <c r="F2" s="18" t="s">
        <v>117</v>
      </c>
      <c r="I2" s="18" t="s">
        <v>113</v>
      </c>
      <c r="J2" s="18" t="s">
        <v>118</v>
      </c>
      <c r="K2" s="18" t="s">
        <v>119</v>
      </c>
      <c r="L2" s="18" t="s">
        <v>120</v>
      </c>
      <c r="M2" s="18" t="s">
        <v>121</v>
      </c>
    </row>
    <row r="3">
      <c r="A3" s="21"/>
      <c r="B3" s="21">
        <v>43739.0</v>
      </c>
      <c r="C3" s="18">
        <v>27000.0</v>
      </c>
      <c r="D3" s="27">
        <f t="shared" ref="D3:D53" si="1">C3/SUM(C$3:C$73)</f>
        <v>0.03044277322</v>
      </c>
      <c r="E3" s="57">
        <f t="shared" ref="E3:E73" si="2">TODAY() - B3</f>
        <v>874</v>
      </c>
      <c r="F3" s="329">
        <f t="shared" ref="F3:F57" si="3">C3/SUM(C$3:C$57)</f>
        <v>0.03233532934</v>
      </c>
      <c r="H3" s="18" t="s">
        <v>122</v>
      </c>
      <c r="I3" s="21">
        <f>E75</f>
        <v>44221</v>
      </c>
      <c r="J3" s="18">
        <f>SUM(C3:C73)</f>
        <v>886910</v>
      </c>
      <c r="K3" s="304">
        <f> ILOG!Q2</f>
        <v>1002236.146</v>
      </c>
      <c r="L3" s="27">
        <f t="shared" ref="L3:L4" si="4">(K3-J3)/J3</f>
        <v>0.1300313964</v>
      </c>
      <c r="M3" s="27">
        <f t="shared" ref="M3:M4" si="5">L3/(TODAY()-I3)*365</f>
        <v>0.1210751523</v>
      </c>
    </row>
    <row r="4">
      <c r="A4" s="21"/>
      <c r="B4" s="21">
        <v>43753.0</v>
      </c>
      <c r="C4" s="18">
        <v>43000.0</v>
      </c>
      <c r="D4" s="27">
        <f t="shared" si="1"/>
        <v>0.04848293513</v>
      </c>
      <c r="E4" s="57">
        <f t="shared" si="2"/>
        <v>860</v>
      </c>
      <c r="F4" s="329">
        <f t="shared" si="3"/>
        <v>0.05149700599</v>
      </c>
      <c r="H4" s="18" t="s">
        <v>123</v>
      </c>
      <c r="I4" s="21">
        <f>F75</f>
        <v>44219</v>
      </c>
      <c r="J4" s="18">
        <f>SUM(C3:C57)</f>
        <v>835000</v>
      </c>
      <c r="K4" s="304">
        <f> ILOG!Q2</f>
        <v>1002236.146</v>
      </c>
      <c r="L4" s="27">
        <f t="shared" si="4"/>
        <v>0.2002828093</v>
      </c>
      <c r="M4" s="27">
        <f t="shared" si="5"/>
        <v>0.1855411812</v>
      </c>
    </row>
    <row r="5">
      <c r="A5" s="21"/>
      <c r="B5" s="21">
        <v>43769.0</v>
      </c>
      <c r="C5" s="18">
        <v>15000.0</v>
      </c>
      <c r="D5" s="27">
        <f t="shared" si="1"/>
        <v>0.01691265179</v>
      </c>
      <c r="E5" s="57">
        <f t="shared" si="2"/>
        <v>844</v>
      </c>
      <c r="F5" s="329">
        <f t="shared" si="3"/>
        <v>0.01796407186</v>
      </c>
    </row>
    <row r="6">
      <c r="A6" s="21"/>
      <c r="B6" s="21">
        <v>43800.0</v>
      </c>
      <c r="C6" s="18">
        <v>10000.0</v>
      </c>
      <c r="D6" s="27">
        <f t="shared" si="1"/>
        <v>0.01127510119</v>
      </c>
      <c r="E6" s="57">
        <f t="shared" si="2"/>
        <v>813</v>
      </c>
      <c r="F6" s="329">
        <f t="shared" si="3"/>
        <v>0.0119760479</v>
      </c>
    </row>
    <row r="7">
      <c r="A7" s="21"/>
      <c r="B7" s="21">
        <v>43811.0</v>
      </c>
      <c r="C7" s="18">
        <v>5000.0</v>
      </c>
      <c r="D7" s="27">
        <f t="shared" si="1"/>
        <v>0.005637550597</v>
      </c>
      <c r="E7" s="57">
        <f t="shared" si="2"/>
        <v>802</v>
      </c>
      <c r="F7" s="329">
        <f t="shared" si="3"/>
        <v>0.005988023952</v>
      </c>
    </row>
    <row r="8">
      <c r="A8" s="321"/>
      <c r="B8" s="321">
        <v>43826.0</v>
      </c>
      <c r="C8" s="18">
        <v>10000.0</v>
      </c>
      <c r="D8" s="27">
        <f t="shared" si="1"/>
        <v>0.01127510119</v>
      </c>
      <c r="E8" s="57">
        <f t="shared" si="2"/>
        <v>787</v>
      </c>
      <c r="F8" s="329">
        <f t="shared" si="3"/>
        <v>0.0119760479</v>
      </c>
    </row>
    <row r="9">
      <c r="A9" s="21"/>
      <c r="B9" s="21">
        <v>44089.0</v>
      </c>
      <c r="C9" s="18">
        <v>10000.0</v>
      </c>
      <c r="D9" s="27">
        <f t="shared" si="1"/>
        <v>0.01127510119</v>
      </c>
      <c r="E9" s="57">
        <f t="shared" si="2"/>
        <v>524</v>
      </c>
      <c r="F9" s="329">
        <f t="shared" si="3"/>
        <v>0.0119760479</v>
      </c>
    </row>
    <row r="10">
      <c r="A10" s="21"/>
      <c r="B10" s="21">
        <v>44097.0</v>
      </c>
      <c r="C10" s="18">
        <v>10000.0</v>
      </c>
      <c r="D10" s="27">
        <f t="shared" si="1"/>
        <v>0.01127510119</v>
      </c>
      <c r="E10" s="57">
        <f t="shared" si="2"/>
        <v>516</v>
      </c>
      <c r="F10" s="329">
        <f t="shared" si="3"/>
        <v>0.0119760479</v>
      </c>
    </row>
    <row r="11">
      <c r="A11" s="21"/>
      <c r="B11" s="21">
        <v>44109.0</v>
      </c>
      <c r="C11" s="18">
        <v>20000.0</v>
      </c>
      <c r="D11" s="27">
        <f t="shared" si="1"/>
        <v>0.02255020239</v>
      </c>
      <c r="E11" s="57">
        <f t="shared" si="2"/>
        <v>504</v>
      </c>
      <c r="F11" s="329">
        <f t="shared" si="3"/>
        <v>0.02395209581</v>
      </c>
    </row>
    <row r="12">
      <c r="A12" s="21"/>
      <c r="B12" s="21">
        <v>44118.0</v>
      </c>
      <c r="C12" s="18">
        <v>10000.0</v>
      </c>
      <c r="D12" s="27">
        <f t="shared" si="1"/>
        <v>0.01127510119</v>
      </c>
      <c r="E12" s="57">
        <f t="shared" si="2"/>
        <v>495</v>
      </c>
      <c r="F12" s="329">
        <f t="shared" si="3"/>
        <v>0.0119760479</v>
      </c>
    </row>
    <row r="13">
      <c r="A13" s="21"/>
      <c r="B13" s="21">
        <v>44193.0</v>
      </c>
      <c r="C13" s="18">
        <v>225000.0</v>
      </c>
      <c r="D13" s="27">
        <f t="shared" si="1"/>
        <v>0.2536897769</v>
      </c>
      <c r="E13" s="57">
        <f t="shared" si="2"/>
        <v>420</v>
      </c>
      <c r="F13" s="329">
        <f t="shared" si="3"/>
        <v>0.2694610778</v>
      </c>
    </row>
    <row r="14">
      <c r="A14" s="21"/>
      <c r="B14" s="21">
        <v>44209.0</v>
      </c>
      <c r="C14" s="18">
        <v>20000.0</v>
      </c>
      <c r="D14" s="27">
        <f t="shared" si="1"/>
        <v>0.02255020239</v>
      </c>
      <c r="E14" s="57">
        <f t="shared" si="2"/>
        <v>404</v>
      </c>
      <c r="F14" s="329">
        <f t="shared" si="3"/>
        <v>0.02395209581</v>
      </c>
    </row>
    <row r="15">
      <c r="A15" s="21"/>
      <c r="B15" s="21">
        <v>44216.0</v>
      </c>
      <c r="C15" s="18">
        <v>10000.0</v>
      </c>
      <c r="D15" s="27">
        <f t="shared" si="1"/>
        <v>0.01127510119</v>
      </c>
      <c r="E15" s="57">
        <f t="shared" si="2"/>
        <v>397</v>
      </c>
      <c r="F15" s="329">
        <f t="shared" si="3"/>
        <v>0.0119760479</v>
      </c>
    </row>
    <row r="16">
      <c r="A16" s="21"/>
      <c r="B16" s="21">
        <v>44223.0</v>
      </c>
      <c r="C16" s="18">
        <v>10000.0</v>
      </c>
      <c r="D16" s="27">
        <f t="shared" si="1"/>
        <v>0.01127510119</v>
      </c>
      <c r="E16" s="57">
        <f t="shared" si="2"/>
        <v>390</v>
      </c>
      <c r="F16" s="329">
        <f t="shared" si="3"/>
        <v>0.0119760479</v>
      </c>
    </row>
    <row r="17">
      <c r="A17" s="21"/>
      <c r="B17" s="21">
        <v>44230.0</v>
      </c>
      <c r="C17" s="18">
        <v>10000.0</v>
      </c>
      <c r="D17" s="27">
        <f t="shared" si="1"/>
        <v>0.01127510119</v>
      </c>
      <c r="E17" s="57">
        <f t="shared" si="2"/>
        <v>383</v>
      </c>
      <c r="F17" s="329">
        <f t="shared" si="3"/>
        <v>0.0119760479</v>
      </c>
    </row>
    <row r="18">
      <c r="A18" s="21"/>
      <c r="B18" s="21">
        <v>44237.0</v>
      </c>
      <c r="C18" s="18">
        <v>10000.0</v>
      </c>
      <c r="D18" s="27">
        <f t="shared" si="1"/>
        <v>0.01127510119</v>
      </c>
      <c r="E18" s="57">
        <f t="shared" si="2"/>
        <v>376</v>
      </c>
      <c r="F18" s="329">
        <f t="shared" si="3"/>
        <v>0.0119760479</v>
      </c>
    </row>
    <row r="19">
      <c r="A19" s="21"/>
      <c r="B19" s="21">
        <v>44244.0</v>
      </c>
      <c r="C19" s="18">
        <v>10000.0</v>
      </c>
      <c r="D19" s="27">
        <f t="shared" si="1"/>
        <v>0.01127510119</v>
      </c>
      <c r="E19" s="57">
        <f t="shared" si="2"/>
        <v>369</v>
      </c>
      <c r="F19" s="329">
        <f t="shared" si="3"/>
        <v>0.0119760479</v>
      </c>
    </row>
    <row r="20">
      <c r="A20" s="21"/>
      <c r="B20" s="21">
        <v>44251.0</v>
      </c>
      <c r="C20" s="18">
        <v>10000.0</v>
      </c>
      <c r="D20" s="27">
        <f t="shared" si="1"/>
        <v>0.01127510119</v>
      </c>
      <c r="E20" s="57">
        <f t="shared" si="2"/>
        <v>362</v>
      </c>
      <c r="F20" s="329">
        <f t="shared" si="3"/>
        <v>0.0119760479</v>
      </c>
    </row>
    <row r="21">
      <c r="A21" s="21"/>
      <c r="B21" s="21">
        <v>44258.0</v>
      </c>
      <c r="C21" s="18">
        <v>10000.0</v>
      </c>
      <c r="D21" s="27">
        <f t="shared" si="1"/>
        <v>0.01127510119</v>
      </c>
      <c r="E21" s="57">
        <f t="shared" si="2"/>
        <v>355</v>
      </c>
      <c r="F21" s="329">
        <f t="shared" si="3"/>
        <v>0.0119760479</v>
      </c>
    </row>
    <row r="22">
      <c r="A22" s="21"/>
      <c r="B22" s="21">
        <v>44265.0</v>
      </c>
      <c r="C22" s="18">
        <v>10000.0</v>
      </c>
      <c r="D22" s="27">
        <f t="shared" si="1"/>
        <v>0.01127510119</v>
      </c>
      <c r="E22" s="57">
        <f t="shared" si="2"/>
        <v>348</v>
      </c>
      <c r="F22" s="329">
        <f t="shared" si="3"/>
        <v>0.0119760479</v>
      </c>
    </row>
    <row r="23">
      <c r="A23" s="21"/>
      <c r="B23" s="21">
        <v>44272.0</v>
      </c>
      <c r="C23" s="18">
        <v>10000.0</v>
      </c>
      <c r="D23" s="27">
        <f t="shared" si="1"/>
        <v>0.01127510119</v>
      </c>
      <c r="E23" s="57">
        <f t="shared" si="2"/>
        <v>341</v>
      </c>
      <c r="F23" s="329">
        <f t="shared" si="3"/>
        <v>0.0119760479</v>
      </c>
    </row>
    <row r="24">
      <c r="A24" s="21"/>
      <c r="B24" s="21">
        <v>44279.0</v>
      </c>
      <c r="C24" s="18">
        <v>10000.0</v>
      </c>
      <c r="D24" s="27">
        <f t="shared" si="1"/>
        <v>0.01127510119</v>
      </c>
      <c r="E24" s="57">
        <f t="shared" si="2"/>
        <v>334</v>
      </c>
      <c r="F24" s="329">
        <f t="shared" si="3"/>
        <v>0.0119760479</v>
      </c>
    </row>
    <row r="25">
      <c r="A25" s="21"/>
      <c r="B25" s="21">
        <v>44286.0</v>
      </c>
      <c r="C25" s="18">
        <v>10000.0</v>
      </c>
      <c r="D25" s="27">
        <f t="shared" si="1"/>
        <v>0.01127510119</v>
      </c>
      <c r="E25" s="57">
        <f t="shared" si="2"/>
        <v>327</v>
      </c>
      <c r="F25" s="329">
        <f t="shared" si="3"/>
        <v>0.0119760479</v>
      </c>
    </row>
    <row r="26">
      <c r="A26" s="21"/>
      <c r="B26" s="21">
        <v>44293.0</v>
      </c>
      <c r="C26" s="18">
        <v>10000.0</v>
      </c>
      <c r="D26" s="27">
        <f t="shared" si="1"/>
        <v>0.01127510119</v>
      </c>
      <c r="E26" s="57">
        <f t="shared" si="2"/>
        <v>320</v>
      </c>
      <c r="F26" s="329">
        <f t="shared" si="3"/>
        <v>0.0119760479</v>
      </c>
    </row>
    <row r="27">
      <c r="A27" s="21"/>
      <c r="B27" s="21">
        <v>44300.0</v>
      </c>
      <c r="C27" s="18">
        <v>10000.0</v>
      </c>
      <c r="D27" s="27">
        <f t="shared" si="1"/>
        <v>0.01127510119</v>
      </c>
      <c r="E27" s="57">
        <f t="shared" si="2"/>
        <v>313</v>
      </c>
      <c r="F27" s="329">
        <f t="shared" si="3"/>
        <v>0.0119760479</v>
      </c>
    </row>
    <row r="28">
      <c r="A28" s="21"/>
      <c r="B28" s="21">
        <v>44307.0</v>
      </c>
      <c r="C28" s="18">
        <v>10000.0</v>
      </c>
      <c r="D28" s="27">
        <f t="shared" si="1"/>
        <v>0.01127510119</v>
      </c>
      <c r="E28" s="57">
        <f t="shared" si="2"/>
        <v>306</v>
      </c>
      <c r="F28" s="329">
        <f t="shared" si="3"/>
        <v>0.0119760479</v>
      </c>
    </row>
    <row r="29">
      <c r="A29" s="21"/>
      <c r="B29" s="21">
        <v>44314.0</v>
      </c>
      <c r="C29" s="18">
        <v>10000.0</v>
      </c>
      <c r="D29" s="27">
        <f t="shared" si="1"/>
        <v>0.01127510119</v>
      </c>
      <c r="E29" s="57">
        <f t="shared" si="2"/>
        <v>299</v>
      </c>
      <c r="F29" s="329">
        <f t="shared" si="3"/>
        <v>0.0119760479</v>
      </c>
    </row>
    <row r="30">
      <c r="A30" s="21"/>
      <c r="B30" s="21">
        <v>44321.0</v>
      </c>
      <c r="C30" s="18">
        <v>10000.0</v>
      </c>
      <c r="D30" s="27">
        <f t="shared" si="1"/>
        <v>0.01127510119</v>
      </c>
      <c r="E30" s="57">
        <f t="shared" si="2"/>
        <v>292</v>
      </c>
      <c r="F30" s="329">
        <f t="shared" si="3"/>
        <v>0.0119760479</v>
      </c>
    </row>
    <row r="31">
      <c r="A31" s="21"/>
      <c r="B31" s="21">
        <v>44328.0</v>
      </c>
      <c r="C31" s="18">
        <v>10000.0</v>
      </c>
      <c r="D31" s="27">
        <f t="shared" si="1"/>
        <v>0.01127510119</v>
      </c>
      <c r="E31" s="57">
        <f t="shared" si="2"/>
        <v>285</v>
      </c>
      <c r="F31" s="329">
        <f t="shared" si="3"/>
        <v>0.0119760479</v>
      </c>
    </row>
    <row r="32">
      <c r="B32" s="21">
        <v>44335.0</v>
      </c>
      <c r="C32" s="18">
        <v>10000.0</v>
      </c>
      <c r="D32" s="27">
        <f t="shared" si="1"/>
        <v>0.01127510119</v>
      </c>
      <c r="E32" s="57">
        <f t="shared" si="2"/>
        <v>278</v>
      </c>
      <c r="F32" s="329">
        <f t="shared" si="3"/>
        <v>0.0119760479</v>
      </c>
    </row>
    <row r="33">
      <c r="B33" s="21">
        <v>44342.0</v>
      </c>
      <c r="C33" s="18">
        <v>10000.0</v>
      </c>
      <c r="D33" s="27">
        <f t="shared" si="1"/>
        <v>0.01127510119</v>
      </c>
      <c r="E33" s="57">
        <f t="shared" si="2"/>
        <v>271</v>
      </c>
      <c r="F33" s="329">
        <f t="shared" si="3"/>
        <v>0.0119760479</v>
      </c>
    </row>
    <row r="34">
      <c r="B34" s="21">
        <v>44349.0</v>
      </c>
      <c r="C34" s="18">
        <v>10000.0</v>
      </c>
      <c r="D34" s="27">
        <f t="shared" si="1"/>
        <v>0.01127510119</v>
      </c>
      <c r="E34" s="57">
        <f t="shared" si="2"/>
        <v>264</v>
      </c>
      <c r="F34" s="329">
        <f t="shared" si="3"/>
        <v>0.0119760479</v>
      </c>
    </row>
    <row r="35">
      <c r="B35" s="21">
        <v>44356.0</v>
      </c>
      <c r="C35" s="18">
        <v>10000.0</v>
      </c>
      <c r="D35" s="27">
        <f t="shared" si="1"/>
        <v>0.01127510119</v>
      </c>
      <c r="E35" s="57">
        <f t="shared" si="2"/>
        <v>257</v>
      </c>
      <c r="F35" s="329">
        <f t="shared" si="3"/>
        <v>0.0119760479</v>
      </c>
    </row>
    <row r="36">
      <c r="B36" s="21">
        <v>44363.0</v>
      </c>
      <c r="C36" s="18">
        <v>10000.0</v>
      </c>
      <c r="D36" s="27">
        <f t="shared" si="1"/>
        <v>0.01127510119</v>
      </c>
      <c r="E36" s="57">
        <f t="shared" si="2"/>
        <v>250</v>
      </c>
      <c r="F36" s="329">
        <f t="shared" si="3"/>
        <v>0.0119760479</v>
      </c>
    </row>
    <row r="37">
      <c r="B37" s="21">
        <v>44370.0</v>
      </c>
      <c r="C37" s="18">
        <v>10000.0</v>
      </c>
      <c r="D37" s="27">
        <f t="shared" si="1"/>
        <v>0.01127510119</v>
      </c>
      <c r="E37" s="57">
        <f t="shared" si="2"/>
        <v>243</v>
      </c>
      <c r="F37" s="329">
        <f t="shared" si="3"/>
        <v>0.0119760479</v>
      </c>
    </row>
    <row r="38">
      <c r="B38" s="21">
        <v>44377.0</v>
      </c>
      <c r="C38" s="18">
        <v>10000.0</v>
      </c>
      <c r="D38" s="27">
        <f t="shared" si="1"/>
        <v>0.01127510119</v>
      </c>
      <c r="E38" s="57">
        <f t="shared" si="2"/>
        <v>236</v>
      </c>
      <c r="F38" s="329">
        <f t="shared" si="3"/>
        <v>0.0119760479</v>
      </c>
    </row>
    <row r="39">
      <c r="B39" s="330">
        <v>44384.0</v>
      </c>
      <c r="C39" s="331">
        <v>10000.0</v>
      </c>
      <c r="D39" s="27">
        <f t="shared" si="1"/>
        <v>0.01127510119</v>
      </c>
      <c r="E39" s="332">
        <f t="shared" si="2"/>
        <v>229</v>
      </c>
      <c r="F39" s="329">
        <f t="shared" si="3"/>
        <v>0.0119760479</v>
      </c>
    </row>
    <row r="40">
      <c r="B40" s="330">
        <v>44391.0</v>
      </c>
      <c r="C40" s="331">
        <v>10000.0</v>
      </c>
      <c r="D40" s="27">
        <f t="shared" si="1"/>
        <v>0.01127510119</v>
      </c>
      <c r="E40" s="332">
        <f t="shared" si="2"/>
        <v>222</v>
      </c>
      <c r="F40" s="329">
        <f t="shared" si="3"/>
        <v>0.0119760479</v>
      </c>
    </row>
    <row r="41">
      <c r="B41" s="330">
        <v>44398.0</v>
      </c>
      <c r="C41" s="331">
        <v>10000.0</v>
      </c>
      <c r="D41" s="27">
        <f t="shared" si="1"/>
        <v>0.01127510119</v>
      </c>
      <c r="E41" s="332">
        <f t="shared" si="2"/>
        <v>215</v>
      </c>
      <c r="F41" s="329">
        <f t="shared" si="3"/>
        <v>0.0119760479</v>
      </c>
    </row>
    <row r="42">
      <c r="B42" s="330">
        <v>44405.0</v>
      </c>
      <c r="C42" s="331">
        <v>10000.0</v>
      </c>
      <c r="D42" s="27">
        <f t="shared" si="1"/>
        <v>0.01127510119</v>
      </c>
      <c r="E42" s="332">
        <f t="shared" si="2"/>
        <v>208</v>
      </c>
      <c r="F42" s="329">
        <f t="shared" si="3"/>
        <v>0.0119760479</v>
      </c>
    </row>
    <row r="43">
      <c r="B43" s="323">
        <v>44412.0</v>
      </c>
      <c r="C43" s="333">
        <v>10000.0</v>
      </c>
      <c r="D43" s="27">
        <f t="shared" si="1"/>
        <v>0.01127510119</v>
      </c>
      <c r="E43" s="334">
        <f t="shared" si="2"/>
        <v>201</v>
      </c>
      <c r="F43" s="329">
        <f t="shared" si="3"/>
        <v>0.0119760479</v>
      </c>
    </row>
    <row r="44">
      <c r="B44" s="323">
        <v>44419.0</v>
      </c>
      <c r="C44" s="333">
        <v>10000.0</v>
      </c>
      <c r="D44" s="27">
        <f t="shared" si="1"/>
        <v>0.01127510119</v>
      </c>
      <c r="E44" s="334">
        <f t="shared" si="2"/>
        <v>194</v>
      </c>
      <c r="F44" s="329">
        <f t="shared" si="3"/>
        <v>0.0119760479</v>
      </c>
    </row>
    <row r="45">
      <c r="B45" s="323">
        <v>44426.0</v>
      </c>
      <c r="C45" s="333">
        <v>10000.0</v>
      </c>
      <c r="D45" s="27">
        <f t="shared" si="1"/>
        <v>0.01127510119</v>
      </c>
      <c r="E45" s="334">
        <f t="shared" si="2"/>
        <v>187</v>
      </c>
      <c r="F45" s="329">
        <f t="shared" si="3"/>
        <v>0.0119760479</v>
      </c>
    </row>
    <row r="46">
      <c r="B46" s="323">
        <v>44433.0</v>
      </c>
      <c r="C46" s="333">
        <v>10000.0</v>
      </c>
      <c r="D46" s="27">
        <f t="shared" si="1"/>
        <v>0.01127510119</v>
      </c>
      <c r="E46" s="334">
        <f t="shared" si="2"/>
        <v>180</v>
      </c>
      <c r="F46" s="329">
        <f t="shared" si="3"/>
        <v>0.0119760479</v>
      </c>
    </row>
    <row r="47">
      <c r="B47" s="323">
        <v>44440.0</v>
      </c>
      <c r="C47" s="333">
        <v>10000.0</v>
      </c>
      <c r="D47" s="27">
        <f t="shared" si="1"/>
        <v>0.01127510119</v>
      </c>
      <c r="E47" s="334">
        <f t="shared" si="2"/>
        <v>173</v>
      </c>
      <c r="F47" s="329">
        <f t="shared" si="3"/>
        <v>0.0119760479</v>
      </c>
    </row>
    <row r="48">
      <c r="B48" s="323">
        <v>44447.0</v>
      </c>
      <c r="C48" s="333">
        <v>10000.0</v>
      </c>
      <c r="D48" s="27">
        <f t="shared" si="1"/>
        <v>0.01127510119</v>
      </c>
      <c r="E48" s="334">
        <f t="shared" si="2"/>
        <v>166</v>
      </c>
      <c r="F48" s="329">
        <f t="shared" si="3"/>
        <v>0.0119760479</v>
      </c>
    </row>
    <row r="49">
      <c r="B49" s="323">
        <v>44454.0</v>
      </c>
      <c r="C49" s="333">
        <v>10000.0</v>
      </c>
      <c r="D49" s="27">
        <f t="shared" si="1"/>
        <v>0.01127510119</v>
      </c>
      <c r="E49" s="334">
        <f t="shared" si="2"/>
        <v>159</v>
      </c>
      <c r="F49" s="329">
        <f t="shared" si="3"/>
        <v>0.0119760479</v>
      </c>
    </row>
    <row r="50">
      <c r="B50" s="323">
        <v>44461.0</v>
      </c>
      <c r="C50" s="333">
        <v>10000.0</v>
      </c>
      <c r="D50" s="27">
        <f t="shared" si="1"/>
        <v>0.01127510119</v>
      </c>
      <c r="E50" s="334">
        <f t="shared" si="2"/>
        <v>152</v>
      </c>
      <c r="F50" s="329">
        <f t="shared" si="3"/>
        <v>0.0119760479</v>
      </c>
    </row>
    <row r="51">
      <c r="B51" s="323">
        <v>44468.0</v>
      </c>
      <c r="C51" s="333">
        <v>10000.0</v>
      </c>
      <c r="D51" s="27">
        <f t="shared" si="1"/>
        <v>0.01127510119</v>
      </c>
      <c r="E51" s="334">
        <f t="shared" si="2"/>
        <v>145</v>
      </c>
      <c r="F51" s="329">
        <f t="shared" si="3"/>
        <v>0.0119760479</v>
      </c>
    </row>
    <row r="52">
      <c r="B52" s="323">
        <v>44475.0</v>
      </c>
      <c r="C52" s="333">
        <v>10000.0</v>
      </c>
      <c r="D52" s="27">
        <f t="shared" si="1"/>
        <v>0.01127510119</v>
      </c>
      <c r="E52" s="334">
        <f t="shared" si="2"/>
        <v>138</v>
      </c>
      <c r="F52" s="329">
        <f t="shared" si="3"/>
        <v>0.0119760479</v>
      </c>
    </row>
    <row r="53">
      <c r="B53" s="323">
        <v>44482.0</v>
      </c>
      <c r="C53" s="333">
        <v>10000.0</v>
      </c>
      <c r="D53" s="27">
        <f t="shared" si="1"/>
        <v>0.01127510119</v>
      </c>
      <c r="E53" s="334">
        <f t="shared" si="2"/>
        <v>131</v>
      </c>
      <c r="F53" s="329">
        <f t="shared" si="3"/>
        <v>0.0119760479</v>
      </c>
    </row>
    <row r="54">
      <c r="B54" s="323">
        <v>44489.0</v>
      </c>
      <c r="C54" s="333">
        <v>10000.0</v>
      </c>
      <c r="D54" s="335">
        <f>C54/SUM(C$3:C$72)</f>
        <v>0.01130837951</v>
      </c>
      <c r="E54" s="334">
        <f t="shared" si="2"/>
        <v>124</v>
      </c>
      <c r="F54" s="329">
        <f t="shared" si="3"/>
        <v>0.0119760479</v>
      </c>
    </row>
    <row r="55">
      <c r="B55" s="323">
        <v>44496.0</v>
      </c>
      <c r="C55" s="333">
        <v>10000.0</v>
      </c>
      <c r="D55" s="335">
        <f>C55/SUM(C$3:C$71)</f>
        <v>0.01134044001</v>
      </c>
      <c r="E55" s="334">
        <f t="shared" si="2"/>
        <v>117</v>
      </c>
      <c r="F55" s="329">
        <f t="shared" si="3"/>
        <v>0.0119760479</v>
      </c>
    </row>
    <row r="56">
      <c r="B56" s="323">
        <v>44503.0</v>
      </c>
      <c r="C56" s="333">
        <v>10000.0</v>
      </c>
      <c r="D56" s="335">
        <f>C56/SUM(C$3:C$70)</f>
        <v>0.01137268282</v>
      </c>
      <c r="E56" s="334">
        <f t="shared" si="2"/>
        <v>110</v>
      </c>
      <c r="F56" s="329">
        <f t="shared" si="3"/>
        <v>0.0119760479</v>
      </c>
    </row>
    <row r="57">
      <c r="B57" s="323">
        <v>44510.0</v>
      </c>
      <c r="C57" s="333">
        <v>10000.0</v>
      </c>
      <c r="D57" s="335">
        <f>C57/SUM(C$3:C$69)</f>
        <v>0.01140510949</v>
      </c>
      <c r="E57" s="334">
        <f t="shared" si="2"/>
        <v>103</v>
      </c>
      <c r="F57" s="329">
        <f t="shared" si="3"/>
        <v>0.0119760479</v>
      </c>
    </row>
    <row r="58">
      <c r="B58" s="336">
        <v>44056.0</v>
      </c>
      <c r="C58" s="337">
        <v>14300.0</v>
      </c>
      <c r="D58" s="338">
        <f t="shared" ref="D58:D73" si="6">C58/SUM(C$3:C$73)</f>
        <v>0.01612339471</v>
      </c>
      <c r="E58" s="339">
        <f t="shared" si="2"/>
        <v>557</v>
      </c>
      <c r="F58" s="340">
        <v>0.0</v>
      </c>
    </row>
    <row r="59">
      <c r="B59" s="336">
        <v>44279.0</v>
      </c>
      <c r="C59" s="337">
        <v>2500.0</v>
      </c>
      <c r="D59" s="338">
        <f t="shared" si="6"/>
        <v>0.002818775299</v>
      </c>
      <c r="E59" s="339">
        <f t="shared" si="2"/>
        <v>334</v>
      </c>
      <c r="F59" s="340">
        <v>0.0</v>
      </c>
    </row>
    <row r="60">
      <c r="B60" s="336">
        <v>44286.0</v>
      </c>
      <c r="C60" s="337">
        <v>2500.0</v>
      </c>
      <c r="D60" s="338">
        <f t="shared" si="6"/>
        <v>0.002818775299</v>
      </c>
      <c r="E60" s="339">
        <f t="shared" si="2"/>
        <v>327</v>
      </c>
      <c r="F60" s="340">
        <v>0.0</v>
      </c>
    </row>
    <row r="61">
      <c r="B61" s="336">
        <v>44293.0</v>
      </c>
      <c r="C61" s="337">
        <v>2500.0</v>
      </c>
      <c r="D61" s="338">
        <f t="shared" si="6"/>
        <v>0.002818775299</v>
      </c>
      <c r="E61" s="339">
        <f t="shared" si="2"/>
        <v>320</v>
      </c>
      <c r="F61" s="340">
        <v>0.0</v>
      </c>
    </row>
    <row r="62">
      <c r="B62" s="336">
        <v>44300.0</v>
      </c>
      <c r="C62" s="337">
        <v>2500.0</v>
      </c>
      <c r="D62" s="338">
        <f t="shared" si="6"/>
        <v>0.002818775299</v>
      </c>
      <c r="E62" s="339">
        <f t="shared" si="2"/>
        <v>313</v>
      </c>
      <c r="F62" s="340">
        <v>0.0</v>
      </c>
    </row>
    <row r="63">
      <c r="B63" s="336">
        <v>44307.0</v>
      </c>
      <c r="C63" s="337">
        <v>2500.0</v>
      </c>
      <c r="D63" s="338">
        <f t="shared" si="6"/>
        <v>0.002818775299</v>
      </c>
      <c r="E63" s="339">
        <f t="shared" si="2"/>
        <v>306</v>
      </c>
      <c r="F63" s="340">
        <v>0.0</v>
      </c>
    </row>
    <row r="64">
      <c r="B64" s="336">
        <v>44314.0</v>
      </c>
      <c r="C64" s="337">
        <v>2500.0</v>
      </c>
      <c r="D64" s="338">
        <f t="shared" si="6"/>
        <v>0.002818775299</v>
      </c>
      <c r="E64" s="339">
        <f t="shared" si="2"/>
        <v>299</v>
      </c>
      <c r="F64" s="340">
        <v>0.0</v>
      </c>
    </row>
    <row r="65">
      <c r="B65" s="336">
        <v>44321.0</v>
      </c>
      <c r="C65" s="337">
        <v>2500.0</v>
      </c>
      <c r="D65" s="338">
        <f t="shared" si="6"/>
        <v>0.002818775299</v>
      </c>
      <c r="E65" s="339">
        <f t="shared" si="2"/>
        <v>292</v>
      </c>
      <c r="F65" s="340">
        <v>0.0</v>
      </c>
    </row>
    <row r="66">
      <c r="B66" s="336">
        <v>44328.0</v>
      </c>
      <c r="C66" s="337">
        <v>2500.0</v>
      </c>
      <c r="D66" s="338">
        <f t="shared" si="6"/>
        <v>0.002818775299</v>
      </c>
      <c r="E66" s="339">
        <f t="shared" si="2"/>
        <v>285</v>
      </c>
      <c r="F66" s="340">
        <v>0.0</v>
      </c>
    </row>
    <row r="67">
      <c r="B67" s="336">
        <v>44335.0</v>
      </c>
      <c r="C67" s="337">
        <v>2500.0</v>
      </c>
      <c r="D67" s="338">
        <f t="shared" si="6"/>
        <v>0.002818775299</v>
      </c>
      <c r="E67" s="339">
        <f t="shared" si="2"/>
        <v>278</v>
      </c>
      <c r="F67" s="340">
        <v>0.0</v>
      </c>
    </row>
    <row r="68">
      <c r="B68" s="336">
        <v>44342.0</v>
      </c>
      <c r="C68" s="337">
        <v>2500.0</v>
      </c>
      <c r="D68" s="338">
        <f t="shared" si="6"/>
        <v>0.002818775299</v>
      </c>
      <c r="E68" s="339">
        <f t="shared" si="2"/>
        <v>271</v>
      </c>
      <c r="F68" s="340">
        <v>0.0</v>
      </c>
    </row>
    <row r="69">
      <c r="B69" s="336">
        <v>44349.0</v>
      </c>
      <c r="C69" s="337">
        <v>2500.0</v>
      </c>
      <c r="D69" s="338">
        <f t="shared" si="6"/>
        <v>0.002818775299</v>
      </c>
      <c r="E69" s="339">
        <f t="shared" si="2"/>
        <v>264</v>
      </c>
      <c r="F69" s="340">
        <v>0.0</v>
      </c>
    </row>
    <row r="70">
      <c r="B70" s="336">
        <v>44356.0</v>
      </c>
      <c r="C70" s="337">
        <v>2500.0</v>
      </c>
      <c r="D70" s="338">
        <f t="shared" si="6"/>
        <v>0.002818775299</v>
      </c>
      <c r="E70" s="339">
        <f t="shared" si="2"/>
        <v>257</v>
      </c>
      <c r="F70" s="340">
        <v>0.0</v>
      </c>
    </row>
    <row r="71">
      <c r="B71" s="336">
        <v>44363.0</v>
      </c>
      <c r="C71" s="337">
        <v>2500.0</v>
      </c>
      <c r="D71" s="338">
        <f t="shared" si="6"/>
        <v>0.002818775299</v>
      </c>
      <c r="E71" s="339">
        <f t="shared" si="2"/>
        <v>250</v>
      </c>
      <c r="F71" s="340">
        <v>0.0</v>
      </c>
    </row>
    <row r="72">
      <c r="B72" s="336">
        <v>44370.0</v>
      </c>
      <c r="C72" s="337">
        <v>2500.0</v>
      </c>
      <c r="D72" s="338">
        <f t="shared" si="6"/>
        <v>0.002818775299</v>
      </c>
      <c r="E72" s="339">
        <f t="shared" si="2"/>
        <v>243</v>
      </c>
      <c r="F72" s="340">
        <v>0.0</v>
      </c>
    </row>
    <row r="73">
      <c r="B73" s="336">
        <v>44377.0</v>
      </c>
      <c r="C73" s="337">
        <v>2610.0</v>
      </c>
      <c r="D73" s="338">
        <f t="shared" si="6"/>
        <v>0.002942801412</v>
      </c>
      <c r="E73" s="339">
        <f t="shared" si="2"/>
        <v>236</v>
      </c>
      <c r="F73" s="340">
        <v>0.0</v>
      </c>
    </row>
    <row r="74">
      <c r="E74" s="57">
        <f>ROUND(SUMPRODUCT(D3:D73, E3:E73),0)</f>
        <v>392</v>
      </c>
      <c r="F74" s="57">
        <f>ROUND(SUMPRODUCT(E3:E57, F3:F57),0)</f>
        <v>394</v>
      </c>
    </row>
    <row r="75">
      <c r="E75" s="96">
        <f t="shared" ref="E75:F75" si="7">TODAY() - E74</f>
        <v>44221</v>
      </c>
      <c r="F75" s="96">
        <f t="shared" si="7"/>
        <v>44219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75"/>
  <cols>
    <col customWidth="1" min="1" max="1" width="3.57"/>
    <col customWidth="1" min="2" max="2" width="10.71"/>
    <col customWidth="1" min="3" max="3" width="8.0"/>
    <col customWidth="1" min="4" max="4" width="7.86"/>
    <col customWidth="1" min="5" max="5" width="10.14"/>
    <col customWidth="1" min="6" max="6" width="12.0"/>
    <col customWidth="1" min="7" max="7" width="8.0"/>
    <col customWidth="1" min="8" max="8" width="10.0"/>
    <col customWidth="1" min="9" max="9" width="8.43"/>
    <col customWidth="1" min="10" max="10" width="8.86"/>
    <col customWidth="1" min="11" max="11" width="4.29"/>
    <col customWidth="1" min="12" max="12" width="7.57"/>
  </cols>
  <sheetData>
    <row r="2">
      <c r="B2" s="118" t="s">
        <v>3</v>
      </c>
      <c r="C2" s="119" t="s">
        <v>7</v>
      </c>
      <c r="D2" s="119" t="s">
        <v>8</v>
      </c>
      <c r="E2" s="119" t="s">
        <v>9</v>
      </c>
      <c r="F2" s="119" t="s">
        <v>10</v>
      </c>
      <c r="G2" s="119" t="s">
        <v>17</v>
      </c>
      <c r="H2" s="119" t="s">
        <v>18</v>
      </c>
      <c r="I2" s="119" t="s">
        <v>19</v>
      </c>
      <c r="J2" s="120" t="s">
        <v>20</v>
      </c>
    </row>
    <row r="3">
      <c r="B3" s="341">
        <v>44055.0</v>
      </c>
      <c r="C3" s="342">
        <v>73.2951</v>
      </c>
      <c r="D3" s="343">
        <v>35.0</v>
      </c>
      <c r="E3" s="344">
        <f t="shared" ref="E3:E54" si="1">C3*D3</f>
        <v>2565.3285</v>
      </c>
      <c r="F3" s="345">
        <v>7.7</v>
      </c>
      <c r="G3" s="346">
        <f>IFERROR(__xludf.DUMMYFUNCTION(" GoogleFinance(""Currency:USDRUB"")"),78.238)</f>
        <v>78.238</v>
      </c>
      <c r="H3" s="347">
        <f t="shared" ref="H3:H55" si="2">G3*D3</f>
        <v>2738.33</v>
      </c>
      <c r="I3" s="348">
        <f t="shared" ref="I3:I55" si="3">(H3-E3)/(E3+F3)</f>
        <v>0.06723652692</v>
      </c>
      <c r="J3" s="349">
        <f t="shared" ref="J3:J55" si="4">I3/(TODAY()-B3)*365</f>
        <v>0.0439808823</v>
      </c>
      <c r="K3" s="57">
        <f t="shared" ref="K3:K54" si="5">TODAY()-B3</f>
        <v>558</v>
      </c>
      <c r="L3" s="27">
        <f t="shared" ref="L3:L54" si="6">E3/SUM(E$3:E$54)</f>
        <v>0.005586840142</v>
      </c>
    </row>
    <row r="4">
      <c r="B4" s="350">
        <v>44078.0</v>
      </c>
      <c r="C4" s="351">
        <v>75.377</v>
      </c>
      <c r="D4" s="1">
        <v>163.0</v>
      </c>
      <c r="E4" s="352">
        <f t="shared" si="1"/>
        <v>12286.451</v>
      </c>
      <c r="F4" s="295">
        <v>36.86</v>
      </c>
      <c r="G4" s="353">
        <f>IFERROR(__xludf.DUMMYFUNCTION(" GoogleFinance(""Currency:USDRUB"")"),78.238)</f>
        <v>78.238</v>
      </c>
      <c r="H4" s="354">
        <f t="shared" si="2"/>
        <v>12752.794</v>
      </c>
      <c r="I4" s="290">
        <f t="shared" si="3"/>
        <v>0.0378423461</v>
      </c>
      <c r="J4" s="355">
        <f t="shared" si="4"/>
        <v>0.02581767538</v>
      </c>
      <c r="K4" s="57">
        <f t="shared" si="5"/>
        <v>535</v>
      </c>
      <c r="L4" s="27">
        <f t="shared" si="6"/>
        <v>0.0267577574</v>
      </c>
    </row>
    <row r="5">
      <c r="B5" s="350">
        <v>44089.0</v>
      </c>
      <c r="C5" s="351">
        <v>75.06</v>
      </c>
      <c r="D5" s="1">
        <v>97.0</v>
      </c>
      <c r="E5" s="352">
        <f t="shared" si="1"/>
        <v>7280.82</v>
      </c>
      <c r="F5" s="295">
        <v>21.84</v>
      </c>
      <c r="G5" s="353">
        <f>IFERROR(__xludf.DUMMYFUNCTION(" GoogleFinance(""Currency:USDRUB"")"),78.238)</f>
        <v>78.238</v>
      </c>
      <c r="H5" s="354">
        <f t="shared" si="2"/>
        <v>7589.086</v>
      </c>
      <c r="I5" s="290">
        <f t="shared" si="3"/>
        <v>0.04221283751</v>
      </c>
      <c r="J5" s="355">
        <f t="shared" si="4"/>
        <v>0.02940398033</v>
      </c>
      <c r="K5" s="57">
        <f t="shared" si="5"/>
        <v>524</v>
      </c>
      <c r="L5" s="27">
        <f t="shared" si="6"/>
        <v>0.01585636204</v>
      </c>
    </row>
    <row r="6">
      <c r="B6" s="350">
        <v>44105.0</v>
      </c>
      <c r="C6" s="351">
        <v>77.38</v>
      </c>
      <c r="D6" s="1">
        <v>105.0</v>
      </c>
      <c r="E6" s="352">
        <f t="shared" si="1"/>
        <v>8124.9</v>
      </c>
      <c r="F6" s="295">
        <v>24.37</v>
      </c>
      <c r="G6" s="353">
        <f>IFERROR(__xludf.DUMMYFUNCTION(" GoogleFinance(""Currency:USDRUB"")"),78.238)</f>
        <v>78.238</v>
      </c>
      <c r="H6" s="354">
        <f t="shared" si="2"/>
        <v>8214.99</v>
      </c>
      <c r="I6" s="290">
        <f t="shared" si="3"/>
        <v>0.01105497793</v>
      </c>
      <c r="J6" s="355">
        <f t="shared" si="4"/>
        <v>0.007943045167</v>
      </c>
      <c r="K6" s="57">
        <f t="shared" si="5"/>
        <v>508</v>
      </c>
      <c r="L6" s="27">
        <f t="shared" si="6"/>
        <v>0.01769462175</v>
      </c>
    </row>
    <row r="7">
      <c r="B7" s="350">
        <v>44112.0</v>
      </c>
      <c r="C7" s="351">
        <v>77.37</v>
      </c>
      <c r="D7" s="1">
        <v>55.0</v>
      </c>
      <c r="E7" s="352">
        <f t="shared" si="1"/>
        <v>4255.35</v>
      </c>
      <c r="F7" s="295">
        <v>12.77</v>
      </c>
      <c r="G7" s="353">
        <f>IFERROR(__xludf.DUMMYFUNCTION(" GoogleFinance(""Currency:USDRUB"")"),78.238)</f>
        <v>78.238</v>
      </c>
      <c r="H7" s="354">
        <f t="shared" si="2"/>
        <v>4303.09</v>
      </c>
      <c r="I7" s="290">
        <f t="shared" si="3"/>
        <v>0.01118525252</v>
      </c>
      <c r="J7" s="355">
        <f t="shared" si="4"/>
        <v>0.008148936469</v>
      </c>
      <c r="K7" s="57">
        <f t="shared" si="5"/>
        <v>501</v>
      </c>
      <c r="L7" s="27">
        <f t="shared" si="6"/>
        <v>0.009267413588</v>
      </c>
    </row>
    <row r="8">
      <c r="B8" s="350">
        <v>44145.0</v>
      </c>
      <c r="C8" s="351">
        <v>76.4</v>
      </c>
      <c r="D8" s="1">
        <v>100.0</v>
      </c>
      <c r="E8" s="352">
        <f t="shared" si="1"/>
        <v>7640</v>
      </c>
      <c r="F8" s="295">
        <v>22.92</v>
      </c>
      <c r="G8" s="353">
        <f>IFERROR(__xludf.DUMMYFUNCTION(" GoogleFinance(""Currency:USDRUB"")"),78.238)</f>
        <v>78.238</v>
      </c>
      <c r="H8" s="354">
        <f t="shared" si="2"/>
        <v>7823.8</v>
      </c>
      <c r="I8" s="290">
        <f t="shared" si="3"/>
        <v>0.02398563472</v>
      </c>
      <c r="J8" s="355">
        <f t="shared" si="4"/>
        <v>0.01870674503</v>
      </c>
      <c r="K8" s="57">
        <f t="shared" si="5"/>
        <v>468</v>
      </c>
      <c r="L8" s="27">
        <f t="shared" si="6"/>
        <v>0.01663859373</v>
      </c>
    </row>
    <row r="9">
      <c r="B9" s="350">
        <v>44172.0</v>
      </c>
      <c r="C9" s="351">
        <v>74.1975</v>
      </c>
      <c r="D9" s="1">
        <v>113.0</v>
      </c>
      <c r="E9" s="352">
        <f t="shared" si="1"/>
        <v>8384.3175</v>
      </c>
      <c r="F9" s="295">
        <v>25.15</v>
      </c>
      <c r="G9" s="353">
        <f>IFERROR(__xludf.DUMMYFUNCTION(" GoogleFinance(""Currency:USDRUB"")"),78.238)</f>
        <v>78.238</v>
      </c>
      <c r="H9" s="354">
        <f t="shared" si="2"/>
        <v>8840.894</v>
      </c>
      <c r="I9" s="290">
        <f t="shared" si="3"/>
        <v>0.05429315233</v>
      </c>
      <c r="J9" s="355">
        <f t="shared" si="4"/>
        <v>0.0449365093</v>
      </c>
      <c r="K9" s="57">
        <f t="shared" si="5"/>
        <v>441</v>
      </c>
      <c r="L9" s="27">
        <f t="shared" si="6"/>
        <v>0.01825958803</v>
      </c>
    </row>
    <row r="10">
      <c r="B10" s="350">
        <v>44193.0</v>
      </c>
      <c r="C10" s="351">
        <v>73.695</v>
      </c>
      <c r="D10" s="1">
        <v>1100.0</v>
      </c>
      <c r="E10" s="352">
        <f t="shared" si="1"/>
        <v>81064.5</v>
      </c>
      <c r="F10" s="295">
        <v>243.19</v>
      </c>
      <c r="G10" s="353">
        <f>IFERROR(__xludf.DUMMYFUNCTION(" GoogleFinance(""Currency:USDRUB"")"),78.238)</f>
        <v>78.238</v>
      </c>
      <c r="H10" s="354">
        <f t="shared" si="2"/>
        <v>86061.8</v>
      </c>
      <c r="I10" s="290">
        <f t="shared" si="3"/>
        <v>0.06146159115</v>
      </c>
      <c r="J10" s="355">
        <f t="shared" si="4"/>
        <v>0.05341304945</v>
      </c>
      <c r="K10" s="57">
        <f t="shared" si="5"/>
        <v>420</v>
      </c>
      <c r="L10" s="27">
        <f t="shared" si="6"/>
        <v>0.1765444085</v>
      </c>
    </row>
    <row r="11">
      <c r="B11" s="356">
        <v>44209.0</v>
      </c>
      <c r="C11" s="351">
        <v>73.5375</v>
      </c>
      <c r="D11" s="1">
        <v>217.0</v>
      </c>
      <c r="E11" s="352">
        <f t="shared" si="1"/>
        <v>15957.6375</v>
      </c>
      <c r="F11" s="295">
        <v>47.87</v>
      </c>
      <c r="G11" s="353">
        <f>IFERROR(__xludf.DUMMYFUNCTION(" GoogleFinance(""Currency:USDRUB"")"),78.238)</f>
        <v>78.238</v>
      </c>
      <c r="H11" s="354">
        <f t="shared" si="2"/>
        <v>16977.646</v>
      </c>
      <c r="I11" s="290">
        <f t="shared" si="3"/>
        <v>0.06372859467</v>
      </c>
      <c r="J11" s="355">
        <f t="shared" si="4"/>
        <v>0.05757657687</v>
      </c>
      <c r="K11" s="57">
        <f t="shared" si="5"/>
        <v>404</v>
      </c>
      <c r="L11" s="27">
        <f t="shared" si="6"/>
        <v>0.03475296429</v>
      </c>
    </row>
    <row r="12">
      <c r="B12" s="350">
        <v>44216.0</v>
      </c>
      <c r="C12" s="351">
        <v>73.4425</v>
      </c>
      <c r="D12" s="1">
        <v>112.0</v>
      </c>
      <c r="E12" s="352">
        <f t="shared" si="1"/>
        <v>8225.56</v>
      </c>
      <c r="F12" s="295">
        <v>24.68</v>
      </c>
      <c r="G12" s="353">
        <f>IFERROR(__xludf.DUMMYFUNCTION(" GoogleFinance(""Currency:USDRUB"")"),78.238)</f>
        <v>78.238</v>
      </c>
      <c r="H12" s="354">
        <f t="shared" si="2"/>
        <v>8762.656</v>
      </c>
      <c r="I12" s="290">
        <f t="shared" si="3"/>
        <v>0.06510065162</v>
      </c>
      <c r="J12" s="355">
        <f t="shared" si="4"/>
        <v>0.05985324393</v>
      </c>
      <c r="K12" s="57">
        <f t="shared" si="5"/>
        <v>397</v>
      </c>
      <c r="L12" s="27">
        <f t="shared" si="6"/>
        <v>0.01791384175</v>
      </c>
    </row>
    <row r="13">
      <c r="B13" s="350">
        <v>44223.0</v>
      </c>
      <c r="C13" s="351">
        <v>75.0925</v>
      </c>
      <c r="D13" s="1">
        <v>107.0</v>
      </c>
      <c r="E13" s="352">
        <f t="shared" si="1"/>
        <v>8034.8975</v>
      </c>
      <c r="F13" s="295">
        <v>24.1</v>
      </c>
      <c r="G13" s="353">
        <f>IFERROR(__xludf.DUMMYFUNCTION(" GoogleFinance(""Currency:USDRUB"")"),78.238)</f>
        <v>78.238</v>
      </c>
      <c r="H13" s="354">
        <f t="shared" si="2"/>
        <v>8371.466</v>
      </c>
      <c r="I13" s="290">
        <f t="shared" si="3"/>
        <v>0.04176307289</v>
      </c>
      <c r="J13" s="355">
        <f t="shared" si="4"/>
        <v>0.03908595283</v>
      </c>
      <c r="K13" s="57">
        <f t="shared" si="5"/>
        <v>390</v>
      </c>
      <c r="L13" s="27">
        <f t="shared" si="6"/>
        <v>0.01749861193</v>
      </c>
    </row>
    <row r="14">
      <c r="B14" s="350">
        <v>44230.0</v>
      </c>
      <c r="C14" s="351">
        <v>76.18</v>
      </c>
      <c r="D14" s="1">
        <v>106.0</v>
      </c>
      <c r="E14" s="352">
        <f t="shared" si="1"/>
        <v>8075.08</v>
      </c>
      <c r="F14" s="295">
        <v>24.23</v>
      </c>
      <c r="G14" s="353">
        <f>IFERROR(__xludf.DUMMYFUNCTION(" GoogleFinance(""Currency:USDRUB"")"),78.238)</f>
        <v>78.238</v>
      </c>
      <c r="H14" s="354">
        <f t="shared" si="2"/>
        <v>8293.228</v>
      </c>
      <c r="I14" s="290">
        <f t="shared" si="3"/>
        <v>0.02693414624</v>
      </c>
      <c r="J14" s="355">
        <f t="shared" si="4"/>
        <v>0.02566831169</v>
      </c>
      <c r="K14" s="57">
        <f t="shared" si="5"/>
        <v>383</v>
      </c>
      <c r="L14" s="27">
        <f t="shared" si="6"/>
        <v>0.01758612244</v>
      </c>
    </row>
    <row r="15">
      <c r="B15" s="350">
        <v>44237.0</v>
      </c>
      <c r="C15" s="351">
        <v>74.0075</v>
      </c>
      <c r="D15" s="1">
        <v>114.0</v>
      </c>
      <c r="E15" s="352">
        <f t="shared" si="1"/>
        <v>8436.855</v>
      </c>
      <c r="F15" s="295">
        <v>25.31</v>
      </c>
      <c r="G15" s="353">
        <f>IFERROR(__xludf.DUMMYFUNCTION(" GoogleFinance(""Currency:USDRUB"")"),78.238)</f>
        <v>78.238</v>
      </c>
      <c r="H15" s="354">
        <f t="shared" si="2"/>
        <v>8919.132</v>
      </c>
      <c r="I15" s="290">
        <f t="shared" si="3"/>
        <v>0.05699215272</v>
      </c>
      <c r="J15" s="355">
        <f t="shared" si="4"/>
        <v>0.0553248291</v>
      </c>
      <c r="K15" s="57">
        <f t="shared" si="5"/>
        <v>376</v>
      </c>
      <c r="L15" s="27">
        <f t="shared" si="6"/>
        <v>0.01837400558</v>
      </c>
    </row>
    <row r="16">
      <c r="B16" s="350">
        <v>44244.0</v>
      </c>
      <c r="C16" s="351">
        <v>73.72</v>
      </c>
      <c r="D16" s="1">
        <v>113.0</v>
      </c>
      <c r="E16" s="352">
        <f t="shared" si="1"/>
        <v>8330.36</v>
      </c>
      <c r="F16" s="295">
        <v>24.99</v>
      </c>
      <c r="G16" s="353">
        <f>IFERROR(__xludf.DUMMYFUNCTION(" GoogleFinance(""Currency:USDRUB"")"),78.238)</f>
        <v>78.238</v>
      </c>
      <c r="H16" s="354">
        <f t="shared" si="2"/>
        <v>8840.894</v>
      </c>
      <c r="I16" s="290">
        <f t="shared" si="3"/>
        <v>0.06110264681</v>
      </c>
      <c r="J16" s="355">
        <f t="shared" si="4"/>
        <v>0.06044028749</v>
      </c>
      <c r="K16" s="57">
        <f t="shared" si="5"/>
        <v>369</v>
      </c>
      <c r="L16" s="27">
        <f t="shared" si="6"/>
        <v>0.01814207796</v>
      </c>
    </row>
    <row r="17">
      <c r="B17" s="350">
        <v>44251.0</v>
      </c>
      <c r="C17" s="351">
        <v>73.81</v>
      </c>
      <c r="D17" s="1">
        <v>114.0</v>
      </c>
      <c r="E17" s="352">
        <f t="shared" si="1"/>
        <v>8414.34</v>
      </c>
      <c r="F17" s="295">
        <v>25.24</v>
      </c>
      <c r="G17" s="353">
        <f>IFERROR(__xludf.DUMMYFUNCTION(" GoogleFinance(""Currency:USDRUB"")"),78.238)</f>
        <v>78.238</v>
      </c>
      <c r="H17" s="354">
        <f t="shared" si="2"/>
        <v>8919.132</v>
      </c>
      <c r="I17" s="290">
        <f t="shared" si="3"/>
        <v>0.05981245512</v>
      </c>
      <c r="J17" s="355">
        <f t="shared" si="4"/>
        <v>0.06030813845</v>
      </c>
      <c r="K17" s="57">
        <f t="shared" si="5"/>
        <v>362</v>
      </c>
      <c r="L17" s="27">
        <f t="shared" si="6"/>
        <v>0.01832497182</v>
      </c>
    </row>
    <row r="18">
      <c r="B18" s="350">
        <v>44258.0</v>
      </c>
      <c r="C18" s="351">
        <v>73.89</v>
      </c>
      <c r="D18" s="1">
        <v>108.0</v>
      </c>
      <c r="E18" s="352">
        <f t="shared" si="1"/>
        <v>7980.12</v>
      </c>
      <c r="F18" s="295">
        <v>23.94</v>
      </c>
      <c r="G18" s="353">
        <f>IFERROR(__xludf.DUMMYFUNCTION(" GoogleFinance(""Currency:USDRUB"")"),78.238)</f>
        <v>78.238</v>
      </c>
      <c r="H18" s="354">
        <f t="shared" si="2"/>
        <v>8449.704</v>
      </c>
      <c r="I18" s="290">
        <f t="shared" si="3"/>
        <v>0.05866822588</v>
      </c>
      <c r="J18" s="355">
        <f t="shared" si="4"/>
        <v>0.06032085196</v>
      </c>
      <c r="K18" s="57">
        <f t="shared" si="5"/>
        <v>355</v>
      </c>
      <c r="L18" s="27">
        <f t="shared" si="6"/>
        <v>0.01737931604</v>
      </c>
    </row>
    <row r="19">
      <c r="B19" s="350">
        <v>44265.0</v>
      </c>
      <c r="C19" s="351">
        <v>74.0625</v>
      </c>
      <c r="D19" s="1">
        <v>108.0</v>
      </c>
      <c r="E19" s="352">
        <f t="shared" si="1"/>
        <v>7998.75</v>
      </c>
      <c r="F19" s="295">
        <v>24.0</v>
      </c>
      <c r="G19" s="353">
        <f>IFERROR(__xludf.DUMMYFUNCTION(" GoogleFinance(""Currency:USDRUB"")"),78.238)</f>
        <v>78.238</v>
      </c>
      <c r="H19" s="354">
        <f t="shared" si="2"/>
        <v>8449.704</v>
      </c>
      <c r="I19" s="290">
        <f t="shared" si="3"/>
        <v>0.05620940451</v>
      </c>
      <c r="J19" s="355">
        <f t="shared" si="4"/>
        <v>0.05895526622</v>
      </c>
      <c r="K19" s="57">
        <f t="shared" si="5"/>
        <v>348</v>
      </c>
      <c r="L19" s="27">
        <f t="shared" si="6"/>
        <v>0.01741988895</v>
      </c>
    </row>
    <row r="20">
      <c r="B20" s="350">
        <v>44272.0</v>
      </c>
      <c r="C20" s="351">
        <v>73.08</v>
      </c>
      <c r="D20" s="1">
        <v>108.0</v>
      </c>
      <c r="E20" s="352">
        <f t="shared" si="1"/>
        <v>7892.64</v>
      </c>
      <c r="F20" s="295">
        <v>23.68</v>
      </c>
      <c r="G20" s="353">
        <f>IFERROR(__xludf.DUMMYFUNCTION(" GoogleFinance(""Currency:USDRUB"")"),78.238)</f>
        <v>78.238</v>
      </c>
      <c r="H20" s="354">
        <f t="shared" si="2"/>
        <v>8449.704</v>
      </c>
      <c r="I20" s="290">
        <f t="shared" si="3"/>
        <v>0.07036906037</v>
      </c>
      <c r="J20" s="355">
        <f t="shared" si="4"/>
        <v>0.07532172151</v>
      </c>
      <c r="K20" s="57">
        <f t="shared" si="5"/>
        <v>341</v>
      </c>
      <c r="L20" s="27">
        <f t="shared" si="6"/>
        <v>0.01718879979</v>
      </c>
    </row>
    <row r="21">
      <c r="B21" s="350">
        <v>44279.0</v>
      </c>
      <c r="C21" s="351">
        <v>76.25</v>
      </c>
      <c r="D21" s="1">
        <v>116.0</v>
      </c>
      <c r="E21" s="352">
        <f t="shared" si="1"/>
        <v>8845</v>
      </c>
      <c r="F21" s="295">
        <v>26.54</v>
      </c>
      <c r="G21" s="353">
        <f>IFERROR(__xludf.DUMMYFUNCTION(" GoogleFinance(""Currency:USDRUB"")"),78.238)</f>
        <v>78.238</v>
      </c>
      <c r="H21" s="354">
        <f t="shared" si="2"/>
        <v>9075.608</v>
      </c>
      <c r="I21" s="290">
        <f t="shared" si="3"/>
        <v>0.02599413405</v>
      </c>
      <c r="J21" s="355">
        <f t="shared" si="4"/>
        <v>0.02840676326</v>
      </c>
      <c r="K21" s="57">
        <f t="shared" si="5"/>
        <v>334</v>
      </c>
      <c r="L21" s="27">
        <f t="shared" si="6"/>
        <v>0.01926287454</v>
      </c>
    </row>
    <row r="22">
      <c r="B22" s="350">
        <v>44286.0</v>
      </c>
      <c r="C22" s="351">
        <v>75.865</v>
      </c>
      <c r="D22" s="1">
        <v>116.0</v>
      </c>
      <c r="E22" s="352">
        <f t="shared" si="1"/>
        <v>8800.34</v>
      </c>
      <c r="F22" s="295">
        <v>26.4</v>
      </c>
      <c r="G22" s="353">
        <f>IFERROR(__xludf.DUMMYFUNCTION(" GoogleFinance(""Currency:USDRUB"")"),78.238)</f>
        <v>78.238</v>
      </c>
      <c r="H22" s="354">
        <f t="shared" si="2"/>
        <v>9075.608</v>
      </c>
      <c r="I22" s="290">
        <f t="shared" si="3"/>
        <v>0.03118569257</v>
      </c>
      <c r="J22" s="355">
        <f t="shared" si="4"/>
        <v>0.034809718</v>
      </c>
      <c r="K22" s="57">
        <f t="shared" si="5"/>
        <v>327</v>
      </c>
      <c r="L22" s="27">
        <f t="shared" si="6"/>
        <v>0.01916561282</v>
      </c>
    </row>
    <row r="23">
      <c r="B23" s="350">
        <v>44293.0</v>
      </c>
      <c r="C23" s="351">
        <v>77.63</v>
      </c>
      <c r="D23" s="1">
        <v>112.0</v>
      </c>
      <c r="E23" s="352">
        <f t="shared" si="1"/>
        <v>8694.56</v>
      </c>
      <c r="F23" s="295">
        <v>26.08</v>
      </c>
      <c r="G23" s="353">
        <f>IFERROR(__xludf.DUMMYFUNCTION(" GoogleFinance(""Currency:USDRUB"")"),78.238)</f>
        <v>78.238</v>
      </c>
      <c r="H23" s="354">
        <f t="shared" si="2"/>
        <v>8762.656</v>
      </c>
      <c r="I23" s="290">
        <f t="shared" si="3"/>
        <v>0.007808601204</v>
      </c>
      <c r="J23" s="355">
        <f t="shared" si="4"/>
        <v>0.008906685748</v>
      </c>
      <c r="K23" s="57">
        <f t="shared" si="5"/>
        <v>320</v>
      </c>
      <c r="L23" s="27">
        <f t="shared" si="6"/>
        <v>0.01893524234</v>
      </c>
    </row>
    <row r="24">
      <c r="B24" s="350">
        <v>44300.0</v>
      </c>
      <c r="C24" s="351">
        <v>75.88</v>
      </c>
      <c r="D24" s="1">
        <v>121.0</v>
      </c>
      <c r="E24" s="352">
        <f t="shared" si="1"/>
        <v>9181.48</v>
      </c>
      <c r="F24" s="295">
        <v>27.54</v>
      </c>
      <c r="G24" s="353">
        <f>IFERROR(__xludf.DUMMYFUNCTION(" GoogleFinance(""Currency:USDRUB"")"),78.238)</f>
        <v>78.238</v>
      </c>
      <c r="H24" s="354">
        <f t="shared" si="2"/>
        <v>9466.798</v>
      </c>
      <c r="I24" s="290">
        <f t="shared" si="3"/>
        <v>0.03098244982</v>
      </c>
      <c r="J24" s="355">
        <f t="shared" si="4"/>
        <v>0.03612969387</v>
      </c>
      <c r="K24" s="57">
        <f t="shared" si="5"/>
        <v>313</v>
      </c>
      <c r="L24" s="27">
        <f t="shared" si="6"/>
        <v>0.01999566957</v>
      </c>
    </row>
    <row r="25">
      <c r="B25" s="350">
        <v>44307.0</v>
      </c>
      <c r="C25" s="351">
        <v>76.725</v>
      </c>
      <c r="D25" s="1">
        <v>116.0</v>
      </c>
      <c r="E25" s="352">
        <f t="shared" si="1"/>
        <v>8900.1</v>
      </c>
      <c r="F25" s="295">
        <v>26.7</v>
      </c>
      <c r="G25" s="353">
        <f>IFERROR(__xludf.DUMMYFUNCTION(" GoogleFinance(""Currency:USDRUB"")"),78.238)</f>
        <v>78.238</v>
      </c>
      <c r="H25" s="354">
        <f t="shared" si="2"/>
        <v>9075.608</v>
      </c>
      <c r="I25" s="290">
        <f t="shared" si="3"/>
        <v>0.0196607967</v>
      </c>
      <c r="J25" s="355">
        <f t="shared" si="4"/>
        <v>0.02345160391</v>
      </c>
      <c r="K25" s="57">
        <f t="shared" si="5"/>
        <v>306</v>
      </c>
      <c r="L25" s="27">
        <f t="shared" si="6"/>
        <v>0.01938287278</v>
      </c>
    </row>
    <row r="26">
      <c r="B26" s="350">
        <v>44314.0</v>
      </c>
      <c r="C26" s="351">
        <v>74.8775</v>
      </c>
      <c r="D26" s="1">
        <v>123.0</v>
      </c>
      <c r="E26" s="352">
        <f t="shared" si="1"/>
        <v>9209.9325</v>
      </c>
      <c r="F26" s="295">
        <v>27.63</v>
      </c>
      <c r="G26" s="353">
        <f>IFERROR(__xludf.DUMMYFUNCTION(" GoogleFinance(""Currency:USDRUB"")"),78.238)</f>
        <v>78.238</v>
      </c>
      <c r="H26" s="354">
        <f t="shared" si="2"/>
        <v>9623.274</v>
      </c>
      <c r="I26" s="290">
        <f t="shared" si="3"/>
        <v>0.04474573244</v>
      </c>
      <c r="J26" s="355">
        <f t="shared" si="4"/>
        <v>0.05462271686</v>
      </c>
      <c r="K26" s="57">
        <f t="shared" si="5"/>
        <v>299</v>
      </c>
      <c r="L26" s="27">
        <f t="shared" si="6"/>
        <v>0.02005763418</v>
      </c>
    </row>
    <row r="27">
      <c r="B27" s="350">
        <v>44321.0</v>
      </c>
      <c r="C27" s="351">
        <v>74.82</v>
      </c>
      <c r="D27" s="1">
        <v>115.0</v>
      </c>
      <c r="E27" s="352">
        <f t="shared" si="1"/>
        <v>8604.3</v>
      </c>
      <c r="F27" s="295">
        <v>25.81</v>
      </c>
      <c r="G27" s="353">
        <f>IFERROR(__xludf.DUMMYFUNCTION(" GoogleFinance(""Currency:USDRUB"")"),78.238)</f>
        <v>78.238</v>
      </c>
      <c r="H27" s="354">
        <f t="shared" si="2"/>
        <v>8997.37</v>
      </c>
      <c r="I27" s="290">
        <f t="shared" si="3"/>
        <v>0.04554634877</v>
      </c>
      <c r="J27" s="355">
        <f t="shared" si="4"/>
        <v>0.05693293596</v>
      </c>
      <c r="K27" s="57">
        <f t="shared" si="5"/>
        <v>292</v>
      </c>
      <c r="L27" s="27">
        <f t="shared" si="6"/>
        <v>0.01873867173</v>
      </c>
    </row>
    <row r="28">
      <c r="B28" s="350">
        <v>44328.0</v>
      </c>
      <c r="C28" s="351">
        <v>74.145</v>
      </c>
      <c r="D28" s="1">
        <v>121.0</v>
      </c>
      <c r="E28" s="352">
        <f t="shared" si="1"/>
        <v>8971.545</v>
      </c>
      <c r="F28" s="295">
        <v>26.91</v>
      </c>
      <c r="G28" s="353">
        <f>IFERROR(__xludf.DUMMYFUNCTION(" GoogleFinance(""Currency:USDRUB"")"),78.238)</f>
        <v>78.238</v>
      </c>
      <c r="H28" s="354">
        <f t="shared" si="2"/>
        <v>9466.798</v>
      </c>
      <c r="I28" s="290">
        <f t="shared" si="3"/>
        <v>0.05503755923</v>
      </c>
      <c r="J28" s="355">
        <f t="shared" si="4"/>
        <v>0.07048669866</v>
      </c>
      <c r="K28" s="57">
        <f t="shared" si="5"/>
        <v>285</v>
      </c>
      <c r="L28" s="27">
        <f t="shared" si="6"/>
        <v>0.01953846758</v>
      </c>
    </row>
    <row r="29">
      <c r="B29" s="350">
        <v>44335.0</v>
      </c>
      <c r="C29" s="351">
        <v>73.72</v>
      </c>
      <c r="D29" s="1">
        <v>128.0</v>
      </c>
      <c r="E29" s="352">
        <f t="shared" si="1"/>
        <v>9436.16</v>
      </c>
      <c r="F29" s="295">
        <v>28.31</v>
      </c>
      <c r="G29" s="353">
        <f>IFERROR(__xludf.DUMMYFUNCTION(" GoogleFinance(""Currency:USDRUB"")"),78.238)</f>
        <v>78.238</v>
      </c>
      <c r="H29" s="354">
        <f t="shared" si="2"/>
        <v>10014.464</v>
      </c>
      <c r="I29" s="290">
        <f t="shared" si="3"/>
        <v>0.0611026291</v>
      </c>
      <c r="J29" s="355">
        <f t="shared" si="4"/>
        <v>0.08022467489</v>
      </c>
      <c r="K29" s="57">
        <f t="shared" si="5"/>
        <v>278</v>
      </c>
      <c r="L29" s="27">
        <f t="shared" si="6"/>
        <v>0.0205503184</v>
      </c>
    </row>
    <row r="30">
      <c r="B30" s="350">
        <v>44342.0</v>
      </c>
      <c r="C30" s="351">
        <v>73.2925</v>
      </c>
      <c r="D30" s="1">
        <v>131.0</v>
      </c>
      <c r="E30" s="352">
        <f t="shared" si="1"/>
        <v>9601.3175</v>
      </c>
      <c r="F30" s="295">
        <v>28.8</v>
      </c>
      <c r="G30" s="353">
        <f>IFERROR(__xludf.DUMMYFUNCTION(" GoogleFinance(""Currency:USDRUB"")"),78.238)</f>
        <v>78.238</v>
      </c>
      <c r="H30" s="354">
        <f t="shared" si="2"/>
        <v>10249.178</v>
      </c>
      <c r="I30" s="290">
        <f t="shared" si="3"/>
        <v>0.0672744128</v>
      </c>
      <c r="J30" s="355">
        <f t="shared" si="4"/>
        <v>0.09060944897</v>
      </c>
      <c r="K30" s="57">
        <f t="shared" si="5"/>
        <v>271</v>
      </c>
      <c r="L30" s="27">
        <f t="shared" si="6"/>
        <v>0.02091000276</v>
      </c>
    </row>
    <row r="31">
      <c r="B31" s="350">
        <v>44349.0</v>
      </c>
      <c r="C31" s="351">
        <v>73.58</v>
      </c>
      <c r="D31" s="1">
        <v>138.0</v>
      </c>
      <c r="E31" s="352">
        <f t="shared" si="1"/>
        <v>10154.04</v>
      </c>
      <c r="F31" s="295">
        <v>30.46</v>
      </c>
      <c r="G31" s="353">
        <f>IFERROR(__xludf.DUMMYFUNCTION(" GoogleFinance(""Currency:USDRUB"")"),78.238)</f>
        <v>78.238</v>
      </c>
      <c r="H31" s="354">
        <f t="shared" si="2"/>
        <v>10796.844</v>
      </c>
      <c r="I31" s="290">
        <f t="shared" si="3"/>
        <v>0.06311591143</v>
      </c>
      <c r="J31" s="355">
        <f t="shared" si="4"/>
        <v>0.08726252907</v>
      </c>
      <c r="K31" s="57">
        <f t="shared" si="5"/>
        <v>264</v>
      </c>
      <c r="L31" s="27">
        <f t="shared" si="6"/>
        <v>0.02211373642</v>
      </c>
    </row>
    <row r="32">
      <c r="B32" s="350">
        <v>44356.0</v>
      </c>
      <c r="C32" s="351">
        <v>72.1325</v>
      </c>
      <c r="D32" s="1">
        <v>163.0</v>
      </c>
      <c r="E32" s="352">
        <f t="shared" si="1"/>
        <v>11757.5975</v>
      </c>
      <c r="F32" s="295">
        <v>35.27</v>
      </c>
      <c r="G32" s="353">
        <f>IFERROR(__xludf.DUMMYFUNCTION(" GoogleFinance(""Currency:USDRUB"")"),78.238)</f>
        <v>78.238</v>
      </c>
      <c r="H32" s="354">
        <f t="shared" si="2"/>
        <v>12752.794</v>
      </c>
      <c r="I32" s="290">
        <f t="shared" si="3"/>
        <v>0.08438969572</v>
      </c>
      <c r="J32" s="355">
        <f t="shared" si="4"/>
        <v>0.1198530698</v>
      </c>
      <c r="K32" s="57">
        <f t="shared" si="5"/>
        <v>257</v>
      </c>
      <c r="L32" s="27">
        <f t="shared" si="6"/>
        <v>0.02560600628</v>
      </c>
    </row>
    <row r="33">
      <c r="B33" s="350">
        <v>44363.0</v>
      </c>
      <c r="C33" s="351">
        <v>72.01</v>
      </c>
      <c r="D33" s="1">
        <v>140.0</v>
      </c>
      <c r="E33" s="352">
        <f t="shared" si="1"/>
        <v>10081.4</v>
      </c>
      <c r="F33" s="295">
        <v>30.24</v>
      </c>
      <c r="G33" s="353">
        <f>IFERROR(__xludf.DUMMYFUNCTION(" GoogleFinance(""Currency:USDRUB"")"),78.238)</f>
        <v>78.238</v>
      </c>
      <c r="H33" s="354">
        <f t="shared" si="2"/>
        <v>10953.32</v>
      </c>
      <c r="I33" s="290">
        <f t="shared" si="3"/>
        <v>0.0862293357</v>
      </c>
      <c r="J33" s="355">
        <f t="shared" si="4"/>
        <v>0.1258948301</v>
      </c>
      <c r="K33" s="57">
        <f t="shared" si="5"/>
        <v>250</v>
      </c>
      <c r="L33" s="27">
        <f t="shared" si="6"/>
        <v>0.02195553911</v>
      </c>
    </row>
    <row r="34">
      <c r="B34" s="350">
        <v>44370.0</v>
      </c>
      <c r="C34" s="351">
        <v>72.7725</v>
      </c>
      <c r="D34" s="1">
        <v>132.0</v>
      </c>
      <c r="E34" s="352">
        <f t="shared" si="1"/>
        <v>9605.97</v>
      </c>
      <c r="F34" s="295">
        <v>28.82</v>
      </c>
      <c r="G34" s="353">
        <f>IFERROR(__xludf.DUMMYFUNCTION(" GoogleFinance(""Currency:USDRUB"")"),78.238)</f>
        <v>78.238</v>
      </c>
      <c r="H34" s="354">
        <f t="shared" si="2"/>
        <v>10327.416</v>
      </c>
      <c r="I34" s="290">
        <f t="shared" si="3"/>
        <v>0.07487926566</v>
      </c>
      <c r="J34" s="355">
        <f t="shared" si="4"/>
        <v>0.1124729711</v>
      </c>
      <c r="K34" s="57">
        <f t="shared" si="5"/>
        <v>243</v>
      </c>
      <c r="L34" s="27">
        <f t="shared" si="6"/>
        <v>0.0209201351</v>
      </c>
    </row>
    <row r="35">
      <c r="B35" s="350">
        <v>44377.0</v>
      </c>
      <c r="C35" s="351">
        <v>72.74</v>
      </c>
      <c r="D35" s="1">
        <v>94.0</v>
      </c>
      <c r="E35" s="352">
        <f t="shared" si="1"/>
        <v>6837.56</v>
      </c>
      <c r="F35" s="295">
        <v>20.51</v>
      </c>
      <c r="G35" s="353">
        <f>IFERROR(__xludf.DUMMYFUNCTION(" GoogleFinance(""Currency:USDRUB"")"),78.238)</f>
        <v>78.238</v>
      </c>
      <c r="H35" s="354">
        <f t="shared" si="2"/>
        <v>7354.372</v>
      </c>
      <c r="I35" s="290">
        <f t="shared" si="3"/>
        <v>0.07535822761</v>
      </c>
      <c r="J35" s="355">
        <f t="shared" si="4"/>
        <v>0.1165498012</v>
      </c>
      <c r="K35" s="57">
        <f t="shared" si="5"/>
        <v>236</v>
      </c>
      <c r="L35" s="27">
        <f t="shared" si="6"/>
        <v>0.01489101871</v>
      </c>
    </row>
    <row r="36">
      <c r="B36" s="350">
        <v>44384.0</v>
      </c>
      <c r="C36" s="351">
        <v>73.9625</v>
      </c>
      <c r="D36" s="1">
        <v>67.0</v>
      </c>
      <c r="E36" s="352">
        <f t="shared" si="1"/>
        <v>4955.4875</v>
      </c>
      <c r="F36" s="295">
        <v>14.87</v>
      </c>
      <c r="G36" s="353">
        <f>IFERROR(__xludf.DUMMYFUNCTION(" GoogleFinance(""Currency:USDRUB"")"),78.238)</f>
        <v>78.238</v>
      </c>
      <c r="H36" s="354">
        <f t="shared" si="2"/>
        <v>5241.946</v>
      </c>
      <c r="I36" s="290">
        <f t="shared" si="3"/>
        <v>0.05763337949</v>
      </c>
      <c r="J36" s="355">
        <f t="shared" si="4"/>
        <v>0.09186106338</v>
      </c>
      <c r="K36" s="57">
        <f t="shared" si="5"/>
        <v>229</v>
      </c>
      <c r="L36" s="27">
        <f t="shared" si="6"/>
        <v>0.01079219152</v>
      </c>
    </row>
    <row r="37">
      <c r="B37" s="350">
        <v>44391.0</v>
      </c>
      <c r="C37" s="351">
        <v>74.14</v>
      </c>
      <c r="D37" s="1">
        <v>67.0</v>
      </c>
      <c r="E37" s="352">
        <f t="shared" si="1"/>
        <v>4967.38</v>
      </c>
      <c r="F37" s="295">
        <v>14.9</v>
      </c>
      <c r="G37" s="353">
        <f>IFERROR(__xludf.DUMMYFUNCTION(" GoogleFinance(""Currency:USDRUB"")"),78.238)</f>
        <v>78.238</v>
      </c>
      <c r="H37" s="354">
        <f t="shared" si="2"/>
        <v>5241.946</v>
      </c>
      <c r="I37" s="290">
        <f t="shared" si="3"/>
        <v>0.05510850454</v>
      </c>
      <c r="J37" s="355">
        <f t="shared" si="4"/>
        <v>0.09060632503</v>
      </c>
      <c r="K37" s="57">
        <f t="shared" si="5"/>
        <v>222</v>
      </c>
      <c r="L37" s="27">
        <f t="shared" si="6"/>
        <v>0.01081809132</v>
      </c>
    </row>
    <row r="38">
      <c r="B38" s="350">
        <v>44398.0</v>
      </c>
      <c r="C38" s="351">
        <v>74.4475</v>
      </c>
      <c r="D38" s="1">
        <v>65.0</v>
      </c>
      <c r="E38" s="352">
        <f t="shared" si="1"/>
        <v>4839.0875</v>
      </c>
      <c r="F38" s="295">
        <v>14.52</v>
      </c>
      <c r="G38" s="353">
        <f>IFERROR(__xludf.DUMMYFUNCTION(" GoogleFinance(""Currency:USDRUB"")"),78.238)</f>
        <v>78.238</v>
      </c>
      <c r="H38" s="354">
        <f t="shared" si="2"/>
        <v>5085.47</v>
      </c>
      <c r="I38" s="290">
        <f t="shared" si="3"/>
        <v>0.05076275739</v>
      </c>
      <c r="J38" s="355">
        <f t="shared" si="4"/>
        <v>0.08617863464</v>
      </c>
      <c r="K38" s="57">
        <f t="shared" si="5"/>
        <v>215</v>
      </c>
      <c r="L38" s="27">
        <f t="shared" si="6"/>
        <v>0.01053869253</v>
      </c>
    </row>
    <row r="39">
      <c r="B39" s="350">
        <v>44405.0</v>
      </c>
      <c r="C39" s="351">
        <v>73.685</v>
      </c>
      <c r="D39" s="1">
        <v>66.0</v>
      </c>
      <c r="E39" s="352">
        <f t="shared" si="1"/>
        <v>4863.21</v>
      </c>
      <c r="F39" s="295">
        <v>14.59</v>
      </c>
      <c r="G39" s="353">
        <f>IFERROR(__xludf.DUMMYFUNCTION(" GoogleFinance(""Currency:USDRUB"")"),78.238)</f>
        <v>78.238</v>
      </c>
      <c r="H39" s="354">
        <f t="shared" si="2"/>
        <v>5163.708</v>
      </c>
      <c r="I39" s="290">
        <f t="shared" si="3"/>
        <v>0.06160523187</v>
      </c>
      <c r="J39" s="355">
        <f t="shared" si="4"/>
        <v>0.1081053348</v>
      </c>
      <c r="K39" s="57">
        <f t="shared" si="5"/>
        <v>208</v>
      </c>
      <c r="L39" s="27">
        <f t="shared" si="6"/>
        <v>0.01059122715</v>
      </c>
    </row>
    <row r="40">
      <c r="B40" s="350">
        <v>44412.0</v>
      </c>
      <c r="C40" s="351">
        <v>72.785</v>
      </c>
      <c r="D40" s="1">
        <v>70.0</v>
      </c>
      <c r="E40" s="352">
        <f t="shared" si="1"/>
        <v>5094.95</v>
      </c>
      <c r="F40" s="295">
        <v>15.28</v>
      </c>
      <c r="G40" s="353">
        <f>IFERROR(__xludf.DUMMYFUNCTION(" GoogleFinance(""Currency:USDRUB"")"),78.238)</f>
        <v>78.238</v>
      </c>
      <c r="H40" s="354">
        <f t="shared" si="2"/>
        <v>5476.66</v>
      </c>
      <c r="I40" s="290">
        <f t="shared" si="3"/>
        <v>0.07469526812</v>
      </c>
      <c r="J40" s="355">
        <f t="shared" si="4"/>
        <v>0.135640661</v>
      </c>
      <c r="K40" s="57">
        <f t="shared" si="5"/>
        <v>201</v>
      </c>
      <c r="L40" s="27">
        <f t="shared" si="6"/>
        <v>0.01109591664</v>
      </c>
    </row>
    <row r="41">
      <c r="B41" s="350">
        <v>44419.0</v>
      </c>
      <c r="C41" s="351">
        <v>73.9775</v>
      </c>
      <c r="D41" s="1">
        <v>67.0</v>
      </c>
      <c r="E41" s="352">
        <f t="shared" si="1"/>
        <v>4956.4925</v>
      </c>
      <c r="F41" s="295">
        <v>14.87</v>
      </c>
      <c r="G41" s="353">
        <f>IFERROR(__xludf.DUMMYFUNCTION(" GoogleFinance(""Currency:USDRUB"")"),78.238)</f>
        <v>78.238</v>
      </c>
      <c r="H41" s="354">
        <f t="shared" si="2"/>
        <v>5241.946</v>
      </c>
      <c r="I41" s="290">
        <f t="shared" si="3"/>
        <v>0.05741957059</v>
      </c>
      <c r="J41" s="355">
        <f t="shared" si="4"/>
        <v>0.1080316663</v>
      </c>
      <c r="K41" s="57">
        <f t="shared" si="5"/>
        <v>194</v>
      </c>
      <c r="L41" s="27">
        <f t="shared" si="6"/>
        <v>0.01079438024</v>
      </c>
    </row>
    <row r="42">
      <c r="B42" s="350">
        <v>44426.0</v>
      </c>
      <c r="C42" s="351">
        <v>73.48</v>
      </c>
      <c r="D42" s="1">
        <v>67.0</v>
      </c>
      <c r="E42" s="352">
        <f t="shared" si="1"/>
        <v>4923.16</v>
      </c>
      <c r="F42" s="295">
        <v>14.77</v>
      </c>
      <c r="G42" s="353">
        <f>IFERROR(__xludf.DUMMYFUNCTION(" GoogleFinance(""Currency:USDRUB"")"),78.238)</f>
        <v>78.238</v>
      </c>
      <c r="H42" s="354">
        <f t="shared" si="2"/>
        <v>5241.946</v>
      </c>
      <c r="I42" s="290">
        <f t="shared" si="3"/>
        <v>0.06455863084</v>
      </c>
      <c r="J42" s="355">
        <f t="shared" si="4"/>
        <v>0.1260101618</v>
      </c>
      <c r="K42" s="57">
        <f t="shared" si="5"/>
        <v>187</v>
      </c>
      <c r="L42" s="27">
        <f t="shared" si="6"/>
        <v>0.01072178784</v>
      </c>
    </row>
    <row r="43">
      <c r="B43" s="350">
        <v>44433.0</v>
      </c>
      <c r="C43" s="351">
        <v>73.8325</v>
      </c>
      <c r="D43" s="1">
        <v>68.0</v>
      </c>
      <c r="E43" s="352">
        <f t="shared" si="1"/>
        <v>5020.61</v>
      </c>
      <c r="F43" s="295">
        <v>15.06</v>
      </c>
      <c r="G43" s="353">
        <f>IFERROR(__xludf.DUMMYFUNCTION(" GoogleFinance(""Currency:USDRUB"")"),78.238)</f>
        <v>78.238</v>
      </c>
      <c r="H43" s="354">
        <f t="shared" si="2"/>
        <v>5320.184</v>
      </c>
      <c r="I43" s="290">
        <f t="shared" si="3"/>
        <v>0.05949039552</v>
      </c>
      <c r="J43" s="355">
        <f t="shared" si="4"/>
        <v>0.120633302</v>
      </c>
      <c r="K43" s="57">
        <f t="shared" si="5"/>
        <v>180</v>
      </c>
      <c r="L43" s="27">
        <f t="shared" si="6"/>
        <v>0.01093401702</v>
      </c>
    </row>
    <row r="44">
      <c r="B44" s="350">
        <v>44440.0</v>
      </c>
      <c r="C44" s="351">
        <v>73.1775</v>
      </c>
      <c r="D44" s="1">
        <v>69.0</v>
      </c>
      <c r="E44" s="352">
        <f t="shared" si="1"/>
        <v>5049.2475</v>
      </c>
      <c r="F44" s="295">
        <v>15.15</v>
      </c>
      <c r="G44" s="353">
        <f>IFERROR(__xludf.DUMMYFUNCTION(" GoogleFinance(""Currency:USDRUB"")"),78.238)</f>
        <v>78.238</v>
      </c>
      <c r="H44" s="354">
        <f t="shared" si="2"/>
        <v>5398.422</v>
      </c>
      <c r="I44" s="290">
        <f t="shared" si="3"/>
        <v>0.06894689842</v>
      </c>
      <c r="J44" s="355">
        <f t="shared" si="4"/>
        <v>0.1454659996</v>
      </c>
      <c r="K44" s="57">
        <f t="shared" si="5"/>
        <v>173</v>
      </c>
      <c r="L44" s="27">
        <f t="shared" si="6"/>
        <v>0.01099638453</v>
      </c>
    </row>
    <row r="45">
      <c r="B45" s="350">
        <v>44447.0</v>
      </c>
      <c r="C45" s="351">
        <v>73.42</v>
      </c>
      <c r="D45" s="1">
        <v>70.0</v>
      </c>
      <c r="E45" s="352">
        <f t="shared" si="1"/>
        <v>5139.4</v>
      </c>
      <c r="F45" s="295">
        <v>15.42</v>
      </c>
      <c r="G45" s="353">
        <f>IFERROR(__xludf.DUMMYFUNCTION(" GoogleFinance(""Currency:USDRUB"")"),78.238)</f>
        <v>78.238</v>
      </c>
      <c r="H45" s="354">
        <f t="shared" si="2"/>
        <v>5476.66</v>
      </c>
      <c r="I45" s="290">
        <f t="shared" si="3"/>
        <v>0.06542614485</v>
      </c>
      <c r="J45" s="355">
        <f t="shared" si="4"/>
        <v>0.143858692</v>
      </c>
      <c r="K45" s="57">
        <f t="shared" si="5"/>
        <v>166</v>
      </c>
      <c r="L45" s="27">
        <f t="shared" si="6"/>
        <v>0.01119272102</v>
      </c>
    </row>
    <row r="46">
      <c r="B46" s="350">
        <v>44454.0</v>
      </c>
      <c r="C46" s="351">
        <v>72.8526</v>
      </c>
      <c r="D46" s="1">
        <v>74.0</v>
      </c>
      <c r="E46" s="352">
        <f t="shared" si="1"/>
        <v>5391.0924</v>
      </c>
      <c r="F46" s="295">
        <v>16.17</v>
      </c>
      <c r="G46" s="353">
        <f>IFERROR(__xludf.DUMMYFUNCTION(" GoogleFinance(""Currency:USDRUB"")"),78.238)</f>
        <v>78.238</v>
      </c>
      <c r="H46" s="354">
        <f t="shared" si="2"/>
        <v>5789.612</v>
      </c>
      <c r="I46" s="290">
        <f t="shared" si="3"/>
        <v>0.07370080653</v>
      </c>
      <c r="J46" s="355">
        <f t="shared" si="4"/>
        <v>0.1691873861</v>
      </c>
      <c r="K46" s="57">
        <f t="shared" si="5"/>
        <v>159</v>
      </c>
      <c r="L46" s="27">
        <f t="shared" si="6"/>
        <v>0.01174086337</v>
      </c>
    </row>
    <row r="47">
      <c r="B47" s="350">
        <v>44461.0</v>
      </c>
      <c r="C47" s="351">
        <v>72.8625</v>
      </c>
      <c r="D47" s="1">
        <v>72.0</v>
      </c>
      <c r="E47" s="352">
        <f t="shared" si="1"/>
        <v>5246.1</v>
      </c>
      <c r="F47" s="295">
        <v>15.74</v>
      </c>
      <c r="G47" s="353">
        <f>IFERROR(__xludf.DUMMYFUNCTION(" GoogleFinance(""Currency:USDRUB"")"),78.238)</f>
        <v>78.238</v>
      </c>
      <c r="H47" s="354">
        <f t="shared" si="2"/>
        <v>5633.136</v>
      </c>
      <c r="I47" s="290">
        <f t="shared" si="3"/>
        <v>0.07355525824</v>
      </c>
      <c r="J47" s="355">
        <f t="shared" si="4"/>
        <v>0.176629403</v>
      </c>
      <c r="K47" s="57">
        <f t="shared" si="5"/>
        <v>152</v>
      </c>
      <c r="L47" s="27">
        <f t="shared" si="6"/>
        <v>0.0114250951</v>
      </c>
    </row>
    <row r="48">
      <c r="B48" s="350">
        <v>44468.0</v>
      </c>
      <c r="C48" s="351">
        <v>72.7275</v>
      </c>
      <c r="D48" s="1">
        <v>69.0</v>
      </c>
      <c r="E48" s="352">
        <f t="shared" si="1"/>
        <v>5018.1975</v>
      </c>
      <c r="F48" s="295">
        <v>15.05</v>
      </c>
      <c r="G48" s="353">
        <f>IFERROR(__xludf.DUMMYFUNCTION(" GoogleFinance(""Currency:USDRUB"")"),78.238)</f>
        <v>78.238</v>
      </c>
      <c r="H48" s="354">
        <f t="shared" si="2"/>
        <v>5398.422</v>
      </c>
      <c r="I48" s="290">
        <f t="shared" si="3"/>
        <v>0.07554257962</v>
      </c>
      <c r="J48" s="355">
        <f t="shared" si="4"/>
        <v>0.1901589073</v>
      </c>
      <c r="K48" s="57">
        <f t="shared" si="5"/>
        <v>145</v>
      </c>
      <c r="L48" s="27">
        <f t="shared" si="6"/>
        <v>0.01092876302</v>
      </c>
    </row>
    <row r="49">
      <c r="B49" s="350">
        <v>44475.0</v>
      </c>
      <c r="C49" s="351">
        <v>72.55</v>
      </c>
      <c r="D49" s="1">
        <v>70.0</v>
      </c>
      <c r="E49" s="352">
        <f t="shared" si="1"/>
        <v>5078.5</v>
      </c>
      <c r="F49" s="295">
        <v>15.24</v>
      </c>
      <c r="G49" s="353">
        <f>IFERROR(__xludf.DUMMYFUNCTION(" GoogleFinance(""Currency:USDRUB"")"),78.238)</f>
        <v>78.238</v>
      </c>
      <c r="H49" s="354">
        <f t="shared" si="2"/>
        <v>5476.66</v>
      </c>
      <c r="I49" s="290">
        <f t="shared" si="3"/>
        <v>0.07816653382</v>
      </c>
      <c r="J49" s="355">
        <f t="shared" si="4"/>
        <v>0.2067448177</v>
      </c>
      <c r="K49" s="57">
        <f t="shared" si="5"/>
        <v>138</v>
      </c>
      <c r="L49" s="27">
        <f t="shared" si="6"/>
        <v>0.01106009139</v>
      </c>
    </row>
    <row r="50">
      <c r="B50" s="350">
        <v>44482.0</v>
      </c>
      <c r="C50" s="351">
        <v>71.855</v>
      </c>
      <c r="D50" s="1">
        <v>76.0</v>
      </c>
      <c r="E50" s="352">
        <f t="shared" si="1"/>
        <v>5460.98</v>
      </c>
      <c r="F50" s="295">
        <v>16.38</v>
      </c>
      <c r="G50" s="353">
        <f>IFERROR(__xludf.DUMMYFUNCTION(" GoogleFinance(""Currency:USDRUB"")"),78.238)</f>
        <v>78.238</v>
      </c>
      <c r="H50" s="354">
        <f t="shared" si="2"/>
        <v>5946.088</v>
      </c>
      <c r="I50" s="290">
        <f t="shared" si="3"/>
        <v>0.08856602451</v>
      </c>
      <c r="J50" s="355">
        <f t="shared" si="4"/>
        <v>0.2467679309</v>
      </c>
      <c r="K50" s="57">
        <f t="shared" si="5"/>
        <v>131</v>
      </c>
      <c r="L50" s="27">
        <f t="shared" si="6"/>
        <v>0.01189306644</v>
      </c>
    </row>
    <row r="51">
      <c r="B51" s="350">
        <v>44489.0</v>
      </c>
      <c r="C51" s="351">
        <v>71.0476</v>
      </c>
      <c r="D51" s="1">
        <v>90.0</v>
      </c>
      <c r="E51" s="352">
        <f t="shared" si="1"/>
        <v>6394.284</v>
      </c>
      <c r="F51" s="295">
        <v>19.18</v>
      </c>
      <c r="G51" s="353">
        <f>IFERROR(__xludf.DUMMYFUNCTION(" GoogleFinance(""Currency:USDRUB"")"),78.238)</f>
        <v>78.238</v>
      </c>
      <c r="H51" s="354">
        <f t="shared" si="2"/>
        <v>7041.42</v>
      </c>
      <c r="I51" s="290">
        <f t="shared" si="3"/>
        <v>0.1009027259</v>
      </c>
      <c r="J51" s="355">
        <f t="shared" si="4"/>
        <v>0.297012056</v>
      </c>
      <c r="K51" s="57">
        <f t="shared" si="5"/>
        <v>124</v>
      </c>
      <c r="L51" s="27">
        <f t="shared" si="6"/>
        <v>0.01392564053</v>
      </c>
    </row>
    <row r="52">
      <c r="B52" s="350">
        <v>44496.0</v>
      </c>
      <c r="C52" s="351">
        <v>70.2575</v>
      </c>
      <c r="D52" s="1">
        <v>85.0</v>
      </c>
      <c r="E52" s="352">
        <f t="shared" si="1"/>
        <v>5971.8875</v>
      </c>
      <c r="F52" s="295">
        <v>17.92</v>
      </c>
      <c r="G52" s="353">
        <f>IFERROR(__xludf.DUMMYFUNCTION(" GoogleFinance(""Currency:USDRUB"")"),78.238)</f>
        <v>78.238</v>
      </c>
      <c r="H52" s="354">
        <f t="shared" si="2"/>
        <v>6650.23</v>
      </c>
      <c r="I52" s="290">
        <f t="shared" si="3"/>
        <v>0.1132494659</v>
      </c>
      <c r="J52" s="355">
        <f t="shared" si="4"/>
        <v>0.3532996157</v>
      </c>
      <c r="K52" s="57">
        <f t="shared" si="5"/>
        <v>117</v>
      </c>
      <c r="L52" s="27">
        <f t="shared" si="6"/>
        <v>0.01300573428</v>
      </c>
    </row>
    <row r="53">
      <c r="B53" s="350">
        <v>44503.0</v>
      </c>
      <c r="C53" s="351">
        <v>71.515</v>
      </c>
      <c r="D53" s="1">
        <v>75.0</v>
      </c>
      <c r="E53" s="352">
        <f t="shared" si="1"/>
        <v>5363.625</v>
      </c>
      <c r="F53" s="295">
        <v>16.09</v>
      </c>
      <c r="G53" s="353">
        <f>IFERROR(__xludf.DUMMYFUNCTION(" GoogleFinance(""Currency:USDRUB"")"),78.238)</f>
        <v>78.238</v>
      </c>
      <c r="H53" s="354">
        <f t="shared" si="2"/>
        <v>5867.85</v>
      </c>
      <c r="I53" s="290">
        <f t="shared" si="3"/>
        <v>0.09372708406</v>
      </c>
      <c r="J53" s="355">
        <f t="shared" si="4"/>
        <v>0.3110035062</v>
      </c>
      <c r="K53" s="57">
        <f t="shared" si="5"/>
        <v>110</v>
      </c>
      <c r="L53" s="27">
        <f t="shared" si="6"/>
        <v>0.01168104415</v>
      </c>
    </row>
    <row r="54">
      <c r="B54" s="357">
        <v>44510.0</v>
      </c>
      <c r="C54" s="358">
        <v>70.86</v>
      </c>
      <c r="D54" s="359">
        <v>82.0</v>
      </c>
      <c r="E54" s="360">
        <f t="shared" si="1"/>
        <v>5810.52</v>
      </c>
      <c r="F54" s="361">
        <v>17.39</v>
      </c>
      <c r="G54" s="362">
        <f>IFERROR(__xludf.DUMMYFUNCTION(" GoogleFinance(""Currency:USDRUB"")"),78.238)</f>
        <v>78.238</v>
      </c>
      <c r="H54" s="363">
        <f t="shared" si="2"/>
        <v>6415.516</v>
      </c>
      <c r="I54" s="364">
        <f t="shared" si="3"/>
        <v>0.1038101137</v>
      </c>
      <c r="J54" s="365">
        <f t="shared" si="4"/>
        <v>0.3678707914</v>
      </c>
      <c r="K54" s="57">
        <f t="shared" si="5"/>
        <v>103</v>
      </c>
      <c r="L54" s="27">
        <f t="shared" si="6"/>
        <v>0.01265430388</v>
      </c>
    </row>
    <row r="55">
      <c r="B55" s="366">
        <f>TODAY() - ROUND(K55,0)</f>
        <v>44289</v>
      </c>
      <c r="C55" s="367">
        <f>E55/D55</f>
        <v>73.94096955</v>
      </c>
      <c r="D55" s="368">
        <f t="shared" ref="D55:F55" si="7">SUM(D3:D54)</f>
        <v>6210</v>
      </c>
      <c r="E55" s="369">
        <f t="shared" si="7"/>
        <v>459173.4209</v>
      </c>
      <c r="F55" s="369">
        <f t="shared" si="7"/>
        <v>1377.45</v>
      </c>
      <c r="G55" s="367">
        <f>IFERROR(__xludf.DUMMYFUNCTION(" GoogleFinance(""Currency:USDRUB"")"),78.238)</f>
        <v>78.238</v>
      </c>
      <c r="H55" s="370">
        <f t="shared" si="2"/>
        <v>485857.98</v>
      </c>
      <c r="I55" s="371">
        <f t="shared" si="3"/>
        <v>0.05794052468</v>
      </c>
      <c r="J55" s="372">
        <f t="shared" si="4"/>
        <v>0.06527250465</v>
      </c>
      <c r="K55" s="95">
        <f>SUMPRODUCT(K3:K54,L3:L54)</f>
        <v>323.7845649</v>
      </c>
      <c r="M55" s="27"/>
      <c r="N55" s="27"/>
    </row>
  </sheetData>
  <conditionalFormatting sqref="J3:J55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I3:I55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43"/>
    <col customWidth="1" min="2" max="2" width="17.0"/>
    <col customWidth="1" min="3" max="3" width="8.14"/>
    <col customWidth="1" min="4" max="4" width="8.86"/>
    <col customWidth="1" min="5" max="5" width="17.0"/>
    <col customWidth="1" min="6" max="6" width="21.0"/>
    <col customWidth="1" min="7" max="7" width="7.71"/>
    <col customWidth="1" min="8" max="8" width="9.14"/>
    <col customWidth="1" min="9" max="9" width="11.14"/>
    <col customWidth="1" min="10" max="10" width="8.86"/>
    <col customWidth="1" min="11" max="11" width="6.86"/>
    <col customWidth="1" min="12" max="13" width="10.86"/>
  </cols>
  <sheetData>
    <row r="1">
      <c r="A1" s="18" t="s">
        <v>44</v>
      </c>
      <c r="B1" s="18" t="s">
        <v>45</v>
      </c>
      <c r="C1" s="18" t="s">
        <v>46</v>
      </c>
      <c r="D1" s="18" t="s">
        <v>47</v>
      </c>
      <c r="E1" s="18" t="s">
        <v>48</v>
      </c>
      <c r="F1" s="18" t="s">
        <v>49</v>
      </c>
      <c r="G1" s="18" t="s">
        <v>50</v>
      </c>
      <c r="H1" s="18" t="s">
        <v>51</v>
      </c>
      <c r="I1" s="18" t="s">
        <v>52</v>
      </c>
      <c r="J1" s="18" t="s">
        <v>21</v>
      </c>
      <c r="K1" s="18" t="s">
        <v>22</v>
      </c>
      <c r="L1" s="18" t="s">
        <v>53</v>
      </c>
      <c r="M1" s="18" t="s">
        <v>54</v>
      </c>
    </row>
    <row r="2">
      <c r="A2" s="97">
        <v>43315.0</v>
      </c>
      <c r="B2" s="98">
        <v>22751.76</v>
      </c>
      <c r="C2" s="98"/>
      <c r="D2" s="98"/>
      <c r="E2" s="98">
        <v>99.0</v>
      </c>
      <c r="F2" s="99"/>
      <c r="G2" s="98" t="s">
        <v>21</v>
      </c>
      <c r="H2" s="98" t="s">
        <v>21</v>
      </c>
      <c r="I2" s="98">
        <v>227151.76</v>
      </c>
      <c r="J2" s="98">
        <v>22751.76</v>
      </c>
      <c r="K2" s="100">
        <f>J2/63.1358</f>
        <v>360.3622667</v>
      </c>
      <c r="L2" s="99"/>
      <c r="M2" s="101"/>
    </row>
    <row r="3">
      <c r="A3" s="102">
        <v>43315.0</v>
      </c>
      <c r="C3" s="18">
        <v>22515.0</v>
      </c>
      <c r="F3" s="18">
        <v>67.55</v>
      </c>
      <c r="G3" s="18" t="s">
        <v>21</v>
      </c>
      <c r="H3" s="18" t="s">
        <v>55</v>
      </c>
      <c r="I3" s="18">
        <v>5.0</v>
      </c>
      <c r="L3" s="18" t="s">
        <v>56</v>
      </c>
      <c r="M3" s="103" t="s">
        <v>56</v>
      </c>
    </row>
    <row r="4">
      <c r="A4" s="97">
        <v>43318.0</v>
      </c>
      <c r="B4" s="98">
        <v>209.63</v>
      </c>
      <c r="C4" s="99"/>
      <c r="D4" s="99"/>
      <c r="E4" s="99"/>
      <c r="F4" s="99"/>
      <c r="G4" s="98" t="s">
        <v>22</v>
      </c>
      <c r="H4" s="98" t="s">
        <v>22</v>
      </c>
      <c r="I4" s="98">
        <v>209.63</v>
      </c>
      <c r="J4" s="100">
        <f>B4*63.4549</f>
        <v>13302.05069</v>
      </c>
      <c r="K4" s="98">
        <v>209.63</v>
      </c>
      <c r="L4" s="99"/>
      <c r="M4" s="101"/>
    </row>
    <row r="5">
      <c r="A5" s="102">
        <v>43318.0</v>
      </c>
      <c r="C5" s="18">
        <v>208.37</v>
      </c>
      <c r="F5" s="18">
        <v>0.63</v>
      </c>
      <c r="G5" s="18" t="s">
        <v>22</v>
      </c>
      <c r="H5" s="18" t="s">
        <v>57</v>
      </c>
      <c r="I5" s="18">
        <v>1.0</v>
      </c>
      <c r="L5" s="18" t="s">
        <v>56</v>
      </c>
      <c r="M5" s="103" t="s">
        <v>56</v>
      </c>
    </row>
    <row r="6">
      <c r="A6" s="97">
        <v>43327.0</v>
      </c>
      <c r="B6" s="98">
        <v>74.02</v>
      </c>
      <c r="C6" s="99"/>
      <c r="D6" s="99"/>
      <c r="E6" s="99"/>
      <c r="F6" s="99"/>
      <c r="G6" s="98" t="s">
        <v>22</v>
      </c>
      <c r="H6" s="98" t="s">
        <v>22</v>
      </c>
      <c r="I6" s="98">
        <v>74.02</v>
      </c>
      <c r="J6" s="100">
        <f>B6*66.7535</f>
        <v>4941.09407</v>
      </c>
      <c r="K6" s="98">
        <v>74.02</v>
      </c>
      <c r="L6" s="99"/>
      <c r="M6" s="101"/>
    </row>
    <row r="7">
      <c r="A7" s="102">
        <v>43327.0</v>
      </c>
      <c r="B7" s="18">
        <v>5000.0</v>
      </c>
      <c r="G7" s="18" t="s">
        <v>21</v>
      </c>
      <c r="H7" s="18" t="s">
        <v>21</v>
      </c>
      <c r="I7" s="18">
        <v>5000.0</v>
      </c>
      <c r="J7" s="18">
        <v>5000.0</v>
      </c>
      <c r="K7" s="104">
        <f>B7/66.7535</f>
        <v>74.90243957</v>
      </c>
      <c r="M7" s="105"/>
    </row>
    <row r="8">
      <c r="A8" s="102">
        <v>43327.0</v>
      </c>
      <c r="C8" s="18">
        <v>5047.88</v>
      </c>
      <c r="F8" s="18">
        <v>15.14</v>
      </c>
      <c r="G8" s="18" t="s">
        <v>21</v>
      </c>
      <c r="H8" s="18" t="s">
        <v>22</v>
      </c>
      <c r="I8" s="18">
        <v>75.0</v>
      </c>
      <c r="M8" s="105"/>
    </row>
    <row r="9">
      <c r="A9" s="102">
        <v>43328.0</v>
      </c>
      <c r="D9" s="18">
        <v>9612.0</v>
      </c>
      <c r="F9" s="18">
        <v>28.84</v>
      </c>
      <c r="G9" s="18" t="s">
        <v>21</v>
      </c>
      <c r="H9" s="18" t="s">
        <v>55</v>
      </c>
      <c r="I9" s="18">
        <v>-2.0</v>
      </c>
      <c r="M9" s="105"/>
    </row>
    <row r="10">
      <c r="A10" s="102">
        <v>43328.0</v>
      </c>
      <c r="C10" s="18">
        <v>9519.68</v>
      </c>
      <c r="F10" s="18">
        <v>28.56</v>
      </c>
      <c r="G10" s="18" t="s">
        <v>21</v>
      </c>
      <c r="H10" s="18" t="s">
        <v>22</v>
      </c>
      <c r="I10" s="18">
        <v>142.0</v>
      </c>
      <c r="M10" s="105"/>
    </row>
    <row r="11">
      <c r="A11" s="102">
        <v>43328.0</v>
      </c>
      <c r="C11" s="18">
        <v>262.0</v>
      </c>
      <c r="F11" s="18">
        <v>0.79</v>
      </c>
      <c r="G11" s="18" t="s">
        <v>22</v>
      </c>
      <c r="H11" s="18" t="s">
        <v>58</v>
      </c>
      <c r="I11" s="18">
        <v>1.0</v>
      </c>
      <c r="L11" s="18" t="s">
        <v>56</v>
      </c>
      <c r="M11" s="103" t="s">
        <v>56</v>
      </c>
    </row>
    <row r="12">
      <c r="A12" s="106">
        <v>43339.0</v>
      </c>
      <c r="B12" s="107"/>
      <c r="C12" s="108">
        <v>25.73</v>
      </c>
      <c r="D12" s="107"/>
      <c r="E12" s="107"/>
      <c r="F12" s="108">
        <v>1.46</v>
      </c>
      <c r="G12" s="108" t="s">
        <v>22</v>
      </c>
      <c r="H12" s="108" t="s">
        <v>59</v>
      </c>
      <c r="I12" s="108">
        <v>1.0</v>
      </c>
      <c r="J12" s="109"/>
      <c r="K12" s="108"/>
      <c r="L12" s="108">
        <v>50158.05</v>
      </c>
      <c r="M12" s="110">
        <v>746.19</v>
      </c>
    </row>
    <row r="13">
      <c r="A13" s="106">
        <v>43348.0</v>
      </c>
      <c r="B13" s="108">
        <v>60.14</v>
      </c>
      <c r="C13" s="108">
        <v>59.77</v>
      </c>
      <c r="D13" s="107"/>
      <c r="E13" s="107"/>
      <c r="F13" s="108">
        <v>0.18</v>
      </c>
      <c r="G13" s="108" t="s">
        <v>22</v>
      </c>
      <c r="H13" s="108" t="s">
        <v>59</v>
      </c>
      <c r="I13" s="108">
        <v>2.0</v>
      </c>
      <c r="J13" s="108">
        <v>4140.64</v>
      </c>
      <c r="K13" s="108">
        <v>60.14</v>
      </c>
      <c r="L13" s="107"/>
      <c r="M13" s="111"/>
    </row>
    <row r="14">
      <c r="A14" s="106">
        <v>43348.0</v>
      </c>
      <c r="B14" s="108">
        <v>89.12</v>
      </c>
      <c r="C14" s="108">
        <v>88.58</v>
      </c>
      <c r="D14" s="107"/>
      <c r="E14" s="107"/>
      <c r="F14" s="108">
        <v>0.27</v>
      </c>
      <c r="G14" s="108" t="s">
        <v>22</v>
      </c>
      <c r="H14" s="108" t="s">
        <v>60</v>
      </c>
      <c r="I14" s="108">
        <v>1.0</v>
      </c>
      <c r="J14" s="108">
        <v>6135.91</v>
      </c>
      <c r="K14" s="108">
        <v>89.12</v>
      </c>
      <c r="L14" s="107"/>
      <c r="M14" s="111"/>
    </row>
    <row r="15">
      <c r="A15" s="97">
        <v>43348.0</v>
      </c>
      <c r="B15" s="98">
        <v>5117.31</v>
      </c>
      <c r="C15" s="98">
        <v>5086.0</v>
      </c>
      <c r="D15" s="99"/>
      <c r="E15" s="98">
        <v>99.0</v>
      </c>
      <c r="F15" s="98">
        <v>15.26</v>
      </c>
      <c r="G15" s="98" t="s">
        <v>21</v>
      </c>
      <c r="H15" s="98" t="s">
        <v>55</v>
      </c>
      <c r="I15" s="98">
        <v>1.0</v>
      </c>
      <c r="J15" s="98">
        <v>5117.31</v>
      </c>
      <c r="K15" s="98">
        <v>74.33</v>
      </c>
      <c r="L15" s="98">
        <v>67809.49</v>
      </c>
      <c r="M15" s="112">
        <v>990.68</v>
      </c>
    </row>
    <row r="16">
      <c r="A16" s="113">
        <v>43396.0</v>
      </c>
      <c r="B16" s="98">
        <v>9173.64</v>
      </c>
      <c r="C16" s="98">
        <v>9020.0</v>
      </c>
      <c r="D16" s="99"/>
      <c r="E16" s="98">
        <v>99.0</v>
      </c>
      <c r="F16" s="98">
        <v>27.06</v>
      </c>
      <c r="G16" s="98" t="s">
        <v>21</v>
      </c>
      <c r="H16" s="98" t="s">
        <v>61</v>
      </c>
      <c r="I16" s="98">
        <v>5.0</v>
      </c>
      <c r="J16" s="99">
        <f>C16</f>
        <v>9020</v>
      </c>
      <c r="K16" s="99"/>
      <c r="L16" s="98">
        <v>65833.48</v>
      </c>
      <c r="M16" s="112">
        <v>1006.65</v>
      </c>
    </row>
    <row r="17">
      <c r="A17" s="113">
        <v>43403.0</v>
      </c>
      <c r="B17" s="99"/>
      <c r="C17" s="99"/>
      <c r="D17" s="98">
        <v>9277.5</v>
      </c>
      <c r="E17" s="99"/>
      <c r="F17" s="98">
        <v>27.83</v>
      </c>
      <c r="G17" s="98" t="s">
        <v>21</v>
      </c>
      <c r="H17" s="98" t="s">
        <v>61</v>
      </c>
      <c r="I17" s="98">
        <v>-5.0</v>
      </c>
      <c r="J17" s="99">
        <f>D17/5</f>
        <v>1855.5</v>
      </c>
      <c r="K17" s="99"/>
      <c r="L17" s="99"/>
      <c r="M17" s="101"/>
    </row>
    <row r="18">
      <c r="A18" s="114">
        <v>43403.0</v>
      </c>
      <c r="B18" s="115"/>
      <c r="C18" s="116">
        <v>8421.44</v>
      </c>
      <c r="D18" s="115"/>
      <c r="E18" s="115"/>
      <c r="F18" s="116">
        <v>25.26</v>
      </c>
      <c r="G18" s="116" t="s">
        <v>21</v>
      </c>
      <c r="H18" s="116" t="s">
        <v>22</v>
      </c>
      <c r="I18" s="116">
        <v>128.0</v>
      </c>
      <c r="J18" s="115">
        <f>C18/I18</f>
        <v>65.7925</v>
      </c>
      <c r="K18" s="115"/>
      <c r="L18" s="115"/>
      <c r="M18" s="117"/>
    </row>
    <row r="19">
      <c r="A19" s="106">
        <v>43487.0</v>
      </c>
      <c r="B19" s="108">
        <v>270.0</v>
      </c>
      <c r="C19" s="107"/>
      <c r="D19" s="107"/>
      <c r="E19" s="108">
        <v>99.0</v>
      </c>
      <c r="F19" s="108">
        <v>53.91</v>
      </c>
      <c r="G19" s="108" t="s">
        <v>22</v>
      </c>
      <c r="H19" s="108" t="s">
        <v>22</v>
      </c>
      <c r="I19" s="108">
        <v>270.0</v>
      </c>
      <c r="J19" s="108">
        <v>17970.53</v>
      </c>
      <c r="K19" s="108">
        <v>270.0</v>
      </c>
      <c r="L19" s="107"/>
      <c r="M19" s="111"/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29"/>
    <col customWidth="1" min="2" max="2" width="10.71"/>
    <col customWidth="1" min="3" max="3" width="8.29"/>
    <col customWidth="1" min="4" max="4" width="9.14"/>
    <col customWidth="1" min="5" max="5" width="7.86"/>
    <col customWidth="1" min="6" max="6" width="9.14"/>
    <col customWidth="1" min="7" max="7" width="12.0"/>
    <col customWidth="1" min="8" max="8" width="8.0"/>
    <col customWidth="1" min="9" max="9" width="7.0"/>
    <col customWidth="1" min="10" max="10" width="8.14"/>
    <col customWidth="1" min="11" max="11" width="10.29"/>
    <col customWidth="1" min="12" max="12" width="7.14"/>
    <col customWidth="1" min="13" max="13" width="6.86"/>
    <col customWidth="1" min="14" max="14" width="10.0"/>
    <col customWidth="1" min="15" max="15" width="7.57"/>
    <col customWidth="1" min="16" max="16" width="8.86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8"/>
      <c r="R1" s="18"/>
    </row>
    <row r="2">
      <c r="A2" s="2"/>
      <c r="B2" s="118" t="s">
        <v>3</v>
      </c>
      <c r="C2" s="119" t="s">
        <v>4</v>
      </c>
      <c r="D2" s="119" t="s">
        <v>7</v>
      </c>
      <c r="E2" s="119" t="s">
        <v>8</v>
      </c>
      <c r="F2" s="119" t="s">
        <v>9</v>
      </c>
      <c r="G2" s="119" t="s">
        <v>10</v>
      </c>
      <c r="H2" s="119" t="s">
        <v>11</v>
      </c>
      <c r="I2" s="119" t="s">
        <v>13</v>
      </c>
      <c r="J2" s="119" t="s">
        <v>14</v>
      </c>
      <c r="K2" s="119" t="s">
        <v>15</v>
      </c>
      <c r="L2" s="119" t="s">
        <v>16</v>
      </c>
      <c r="M2" s="119" t="s">
        <v>17</v>
      </c>
      <c r="N2" s="119" t="s">
        <v>18</v>
      </c>
      <c r="O2" s="119" t="s">
        <v>19</v>
      </c>
      <c r="P2" s="120" t="s">
        <v>20</v>
      </c>
      <c r="Q2" s="18"/>
      <c r="R2" s="18"/>
    </row>
    <row r="3">
      <c r="A3" s="63"/>
      <c r="B3" s="121">
        <v>43739.0</v>
      </c>
      <c r="C3" s="122" t="str">
        <f t="shared" ref="C3:C6" si="1">HYPERLINK("https://ru.investing.com/equities/gmk-noril-nickel_rts","GMKN")</f>
        <v>GMKN</v>
      </c>
      <c r="D3" s="123">
        <v>16640.0</v>
      </c>
      <c r="E3" s="124">
        <v>1.0</v>
      </c>
      <c r="F3" s="125">
        <f t="shared" ref="F3:F5" si="2">D3*E3</f>
        <v>16640</v>
      </c>
      <c r="G3" s="126">
        <v>111.54</v>
      </c>
      <c r="H3" s="127">
        <f> 2668.57 + 1021.22</f>
        <v>3689.79</v>
      </c>
      <c r="I3" s="128">
        <f> 115 + 79 + 72 + 81</f>
        <v>347</v>
      </c>
      <c r="J3" s="129">
        <f t="shared" ref="J3:J5" si="3">H3-I3-G3</f>
        <v>3231.25</v>
      </c>
      <c r="K3" s="130">
        <f t="shared" ref="K3:K6" si="4">J3/F3</f>
        <v>0.1941856971</v>
      </c>
      <c r="L3" s="130">
        <f t="shared" ref="L3:L6" si="5">J3/F3/(TODAY()-B3)*365</f>
        <v>0.08109585749</v>
      </c>
      <c r="M3" s="131" t="str">
        <f>IFERROR(__xludf.DUMMYFUNCTION(" SUBSTITUTE(ImportHTML(CONCATENATE(""http://iss.moex.com/iss/engines/stock/markets/shares/boards/TQBR/securities.html?securities="", C3,""&amp;marketdata.columns=LAST&amp;iss.meta=off&amp;iss.only=marketdata""),""table"",1), ""."", "","")"),"20454")</f>
        <v>20454</v>
      </c>
      <c r="N3" s="131">
        <f t="shared" ref="N3:N6" si="6">M3*E3</f>
        <v>20454</v>
      </c>
      <c r="O3" s="132">
        <f t="shared" ref="O3:O6" si="7">(N3+J3-F3)/(F3+G3)</f>
        <v>0.4205732727</v>
      </c>
      <c r="P3" s="133">
        <f t="shared" ref="P3:P6" si="8">O3/(TODAY()-B3)*365</f>
        <v>0.1756398679</v>
      </c>
      <c r="Q3" s="57">
        <f t="shared" ref="Q3:Q5" si="9">today() - B3</f>
        <v>874</v>
      </c>
      <c r="R3" s="27">
        <f t="shared" ref="R3:R5" si="10">F3/SUM(F$3:F$5)</f>
        <v>0.2612326918</v>
      </c>
    </row>
    <row r="4">
      <c r="A4" s="63"/>
      <c r="B4" s="134">
        <v>44230.0</v>
      </c>
      <c r="C4" s="58" t="str">
        <f t="shared" si="1"/>
        <v>GMKN</v>
      </c>
      <c r="D4" s="31">
        <v>24940.0</v>
      </c>
      <c r="E4" s="66">
        <v>1.0</v>
      </c>
      <c r="F4" s="83">
        <f t="shared" si="2"/>
        <v>24940</v>
      </c>
      <c r="G4" s="82">
        <v>74.82</v>
      </c>
      <c r="H4" s="39">
        <f> 1021.22</f>
        <v>1021.22</v>
      </c>
      <c r="I4" s="66">
        <v>133.0</v>
      </c>
      <c r="J4" s="37">
        <f t="shared" si="3"/>
        <v>813.4</v>
      </c>
      <c r="K4" s="38">
        <f t="shared" si="4"/>
        <v>0.03261427426</v>
      </c>
      <c r="L4" s="38">
        <f t="shared" si="5"/>
        <v>0.03108148852</v>
      </c>
      <c r="M4" s="40" t="str">
        <f>IFERROR(__xludf.DUMMYFUNCTION(" SUBSTITUTE(ImportHTML(CONCATENATE(""http://iss.moex.com/iss/engines/stock/markets/shares/boards/TQBR/securities.html?securities="", C4,""&amp;marketdata.columns=LAST&amp;iss.meta=off&amp;iss.only=marketdata""),""table"",1), ""."", "","")"),"20454")</f>
        <v>20454</v>
      </c>
      <c r="N4" s="40">
        <f t="shared" si="6"/>
        <v>20454</v>
      </c>
      <c r="O4" s="41">
        <f t="shared" si="7"/>
        <v>-0.1468169669</v>
      </c>
      <c r="P4" s="135">
        <f t="shared" si="8"/>
        <v>-0.1399169528</v>
      </c>
      <c r="Q4" s="57">
        <f t="shared" si="9"/>
        <v>383</v>
      </c>
      <c r="R4" s="27">
        <f t="shared" si="10"/>
        <v>0.391535056</v>
      </c>
    </row>
    <row r="5">
      <c r="A5" s="63"/>
      <c r="B5" s="136">
        <v>44503.0</v>
      </c>
      <c r="C5" s="137" t="str">
        <f t="shared" si="1"/>
        <v>GMKN</v>
      </c>
      <c r="D5" s="138">
        <v>22118.0</v>
      </c>
      <c r="E5" s="139">
        <v>1.0</v>
      </c>
      <c r="F5" s="140">
        <f t="shared" si="2"/>
        <v>22118</v>
      </c>
      <c r="G5" s="141">
        <v>66.35</v>
      </c>
      <c r="H5" s="142"/>
      <c r="I5" s="139"/>
      <c r="J5" s="143">
        <f t="shared" si="3"/>
        <v>-66.35</v>
      </c>
      <c r="K5" s="144">
        <f t="shared" si="4"/>
        <v>-0.002999819152</v>
      </c>
      <c r="L5" s="144">
        <f t="shared" si="5"/>
        <v>-0.009953945367</v>
      </c>
      <c r="M5" s="145" t="str">
        <f>IFERROR(__xludf.DUMMYFUNCTION(" SUBSTITUTE(ImportHTML(CONCATENATE(""http://iss.moex.com/iss/engines/stock/markets/shares/boards/TQBR/securities.html?securities="", C5,""&amp;marketdata.columns=LAST&amp;iss.meta=off&amp;iss.only=marketdata""),""table"",1), ""."", "","")"),"20454")</f>
        <v>20454</v>
      </c>
      <c r="N5" s="145">
        <f t="shared" si="6"/>
        <v>20454</v>
      </c>
      <c r="O5" s="146">
        <f t="shared" si="7"/>
        <v>-0.07799867925</v>
      </c>
      <c r="P5" s="147">
        <f t="shared" si="8"/>
        <v>-0.2588137993</v>
      </c>
      <c r="Q5" s="57">
        <f t="shared" si="9"/>
        <v>110</v>
      </c>
      <c r="R5" s="27">
        <f t="shared" si="10"/>
        <v>0.3472322522</v>
      </c>
    </row>
    <row r="6">
      <c r="B6" s="148">
        <f>Q7</f>
        <v>44197</v>
      </c>
      <c r="C6" s="149" t="str">
        <f t="shared" si="1"/>
        <v>GMKN</v>
      </c>
      <c r="D6" s="150">
        <f>F6/E6</f>
        <v>21232.66667</v>
      </c>
      <c r="E6" s="151">
        <f t="shared" ref="E6:J6" si="11">SUM(E3:E5)</f>
        <v>3</v>
      </c>
      <c r="F6" s="150">
        <f t="shared" si="11"/>
        <v>63698</v>
      </c>
      <c r="G6" s="150">
        <f t="shared" si="11"/>
        <v>252.71</v>
      </c>
      <c r="H6" s="151">
        <f t="shared" si="11"/>
        <v>4711.01</v>
      </c>
      <c r="I6" s="151">
        <f t="shared" si="11"/>
        <v>480</v>
      </c>
      <c r="J6" s="152">
        <f t="shared" si="11"/>
        <v>3978.3</v>
      </c>
      <c r="K6" s="153">
        <f t="shared" si="4"/>
        <v>0.0624556501</v>
      </c>
      <c r="L6" s="153">
        <f t="shared" si="5"/>
        <v>0.05479882761</v>
      </c>
      <c r="M6" s="154" t="str">
        <f>IFERROR(__xludf.DUMMYFUNCTION(" SUBSTITUTE(ImportHTML(CONCATENATE(""http://iss.moex.com/iss/engines/stock/markets/shares/boards/TQBR/securities.html?securities="", C6,""&amp;marketdata.columns=LAST&amp;iss.meta=off&amp;iss.only=marketdata""),""table"",1), ""."", "","")"),"20454")</f>
        <v>20454</v>
      </c>
      <c r="N6" s="154">
        <f t="shared" si="6"/>
        <v>61362</v>
      </c>
      <c r="O6" s="155">
        <f t="shared" si="7"/>
        <v>0.02568071566</v>
      </c>
      <c r="P6" s="156">
        <f t="shared" si="8"/>
        <v>0.0225323587</v>
      </c>
      <c r="Q6" s="95">
        <f>SUMPRODUCT(Q3:Q5, R3:R5)</f>
        <v>416.4708468</v>
      </c>
    </row>
    <row r="7">
      <c r="Q7" s="96">
        <f>today() - round(Q6,0)</f>
        <v>44197</v>
      </c>
    </row>
    <row r="8">
      <c r="B8" s="118" t="s">
        <v>3</v>
      </c>
      <c r="C8" s="119" t="s">
        <v>4</v>
      </c>
      <c r="D8" s="119" t="s">
        <v>7</v>
      </c>
      <c r="E8" s="119" t="s">
        <v>8</v>
      </c>
      <c r="F8" s="119" t="s">
        <v>9</v>
      </c>
      <c r="G8" s="119" t="s">
        <v>10</v>
      </c>
      <c r="H8" s="119" t="s">
        <v>11</v>
      </c>
      <c r="I8" s="119" t="s">
        <v>13</v>
      </c>
      <c r="J8" s="119" t="s">
        <v>14</v>
      </c>
      <c r="K8" s="119" t="s">
        <v>15</v>
      </c>
      <c r="L8" s="119" t="s">
        <v>16</v>
      </c>
      <c r="M8" s="119" t="s">
        <v>17</v>
      </c>
      <c r="N8" s="119" t="s">
        <v>18</v>
      </c>
      <c r="O8" s="119" t="s">
        <v>19</v>
      </c>
      <c r="P8" s="120" t="s">
        <v>20</v>
      </c>
      <c r="Q8" s="18"/>
      <c r="R8" s="18"/>
    </row>
    <row r="9">
      <c r="B9" s="121">
        <v>43739.0</v>
      </c>
      <c r="C9" s="122" t="str">
        <f t="shared" ref="C9:C12" si="12">HYPERLINK("https://ru.investing.com/equities/phosagro","PHOR")</f>
        <v>PHOR</v>
      </c>
      <c r="D9" s="128">
        <v>2523.0</v>
      </c>
      <c r="E9" s="124">
        <v>4.0</v>
      </c>
      <c r="F9" s="125">
        <f t="shared" ref="F9:F11" si="13">D9*E9</f>
        <v>10092</v>
      </c>
      <c r="G9" s="126">
        <v>67.66</v>
      </c>
      <c r="H9" s="128">
        <f> 216 + 192 + 72 + 312 + 132 + 492 + 252 + 420 + 624</f>
        <v>2712</v>
      </c>
      <c r="I9" s="128">
        <f> 28 + 25 + 9 + 41 + 17 + 25.6 + 64 + 32.8 + 54.8 + 81.09</f>
        <v>378.29</v>
      </c>
      <c r="J9" s="129">
        <f t="shared" ref="J9:J11" si="14">H9-I9-G9</f>
        <v>2266.05</v>
      </c>
      <c r="K9" s="130">
        <f t="shared" ref="K9:K12" si="15">J9/F9</f>
        <v>0.224539239</v>
      </c>
      <c r="L9" s="130">
        <f t="shared" ref="L9:L12" si="16">J9/F9/(TODAY()-B9)*365</f>
        <v>0.09377210782</v>
      </c>
      <c r="M9" s="131" t="str">
        <f>IFERROR(__xludf.DUMMYFUNCTION(" SUBSTITUTE(ImportHTML(CONCATENATE(""http://iss.moex.com/iss/engines/stock/markets/shares/boards/TQBR/securities.html?securities="", C9,""&amp;marketdata.columns=LAST&amp;iss.meta=off&amp;iss.only=marketdata""),""table"",1), ""."", "","")"),"5843")</f>
        <v>5843</v>
      </c>
      <c r="N9" s="157">
        <f t="shared" ref="N9:N12" si="17">M9*E9</f>
        <v>23372</v>
      </c>
      <c r="O9" s="132">
        <f t="shared" ref="O9:O12" si="18">(N9+J9-F9)/(F9+G9)</f>
        <v>1.530174238</v>
      </c>
      <c r="P9" s="133">
        <f t="shared" ref="P9:P12" si="19">O9/(TODAY()-B9)*365</f>
        <v>0.6390315754</v>
      </c>
      <c r="Q9" s="57">
        <f t="shared" ref="Q9:Q11" si="20">today() - B9</f>
        <v>874</v>
      </c>
      <c r="R9" s="27">
        <f t="shared" ref="R9:R11" si="21">F9/SUM(F$9:F$11)</f>
        <v>0.3025724051</v>
      </c>
      <c r="T9" s="104"/>
    </row>
    <row r="10">
      <c r="B10" s="158">
        <v>44193.0</v>
      </c>
      <c r="C10" s="58" t="str">
        <f t="shared" si="12"/>
        <v>PHOR</v>
      </c>
      <c r="D10" s="159">
        <v>3111.0</v>
      </c>
      <c r="E10" s="66">
        <v>6.0</v>
      </c>
      <c r="F10" s="83">
        <f t="shared" si="13"/>
        <v>18666</v>
      </c>
      <c r="G10" s="82">
        <v>56.0</v>
      </c>
      <c r="H10" s="66">
        <f> 378 + 630 + 936</f>
        <v>1944</v>
      </c>
      <c r="I10" s="66">
        <f> 49.2 + 82.2 + 121.64</f>
        <v>253.04</v>
      </c>
      <c r="J10" s="37">
        <f t="shared" si="14"/>
        <v>1634.96</v>
      </c>
      <c r="K10" s="38">
        <f t="shared" si="15"/>
        <v>0.08759027108</v>
      </c>
      <c r="L10" s="38">
        <f t="shared" si="16"/>
        <v>0.07612011653</v>
      </c>
      <c r="M10" s="40" t="str">
        <f>IFERROR(__xludf.DUMMYFUNCTION(" SUBSTITUTE(ImportHTML(CONCATENATE(""http://iss.moex.com/iss/engines/stock/markets/shares/boards/TQBR/securities.html?securities="", C10,""&amp;marketdata.columns=LAST&amp;iss.meta=off&amp;iss.only=marketdata""),""table"",1), ""."", "","")"),"5843")</f>
        <v>5843</v>
      </c>
      <c r="N10" s="85">
        <f t="shared" si="17"/>
        <v>35058</v>
      </c>
      <c r="O10" s="41">
        <f t="shared" si="18"/>
        <v>0.9628757611</v>
      </c>
      <c r="P10" s="135">
        <f t="shared" si="19"/>
        <v>0.8367848877</v>
      </c>
      <c r="Q10" s="57">
        <f t="shared" si="20"/>
        <v>420</v>
      </c>
      <c r="R10" s="27">
        <f t="shared" si="21"/>
        <v>0.5596330275</v>
      </c>
      <c r="T10" s="104"/>
    </row>
    <row r="11">
      <c r="B11" s="160">
        <v>44426.0</v>
      </c>
      <c r="C11" s="137" t="str">
        <f t="shared" si="12"/>
        <v>PHOR</v>
      </c>
      <c r="D11" s="161">
        <v>4596.0</v>
      </c>
      <c r="E11" s="139">
        <v>1.0</v>
      </c>
      <c r="F11" s="140">
        <f t="shared" si="13"/>
        <v>4596</v>
      </c>
      <c r="G11" s="141">
        <v>13.79</v>
      </c>
      <c r="H11" s="139">
        <f> 156</f>
        <v>156</v>
      </c>
      <c r="I11" s="139">
        <f> 20.27</f>
        <v>20.27</v>
      </c>
      <c r="J11" s="143">
        <f t="shared" si="14"/>
        <v>121.94</v>
      </c>
      <c r="K11" s="144">
        <f t="shared" si="15"/>
        <v>0.02653176675</v>
      </c>
      <c r="L11" s="144">
        <f t="shared" si="16"/>
        <v>0.05178660356</v>
      </c>
      <c r="M11" s="145" t="str">
        <f>IFERROR(__xludf.DUMMYFUNCTION(" SUBSTITUTE(ImportHTML(CONCATENATE(""http://iss.moex.com/iss/engines/stock/markets/shares/boards/TQBR/securities.html?securities="", C11,""&amp;marketdata.columns=LAST&amp;iss.meta=off&amp;iss.only=marketdata""),""table"",1), ""."", "","")"),"5843")</f>
        <v>5843</v>
      </c>
      <c r="N11" s="162">
        <f t="shared" si="17"/>
        <v>5843</v>
      </c>
      <c r="O11" s="146">
        <f t="shared" si="18"/>
        <v>0.2969636361</v>
      </c>
      <c r="P11" s="147">
        <f t="shared" si="19"/>
        <v>0.5796349047</v>
      </c>
      <c r="Q11" s="57">
        <f t="shared" si="20"/>
        <v>187</v>
      </c>
      <c r="R11" s="27">
        <f t="shared" si="21"/>
        <v>0.1377945674</v>
      </c>
      <c r="T11" s="104"/>
    </row>
    <row r="12">
      <c r="B12" s="148">
        <f>Q13</f>
        <v>44088</v>
      </c>
      <c r="C12" s="149" t="str">
        <f t="shared" si="12"/>
        <v>PHOR</v>
      </c>
      <c r="D12" s="150">
        <f>F12/E12</f>
        <v>3032.181818</v>
      </c>
      <c r="E12" s="151">
        <f t="shared" ref="E12:J12" si="22">SUM(E9:E11)</f>
        <v>11</v>
      </c>
      <c r="F12" s="150">
        <f t="shared" si="22"/>
        <v>33354</v>
      </c>
      <c r="G12" s="150">
        <f t="shared" si="22"/>
        <v>137.45</v>
      </c>
      <c r="H12" s="151">
        <f t="shared" si="22"/>
        <v>4812</v>
      </c>
      <c r="I12" s="151">
        <f t="shared" si="22"/>
        <v>651.6</v>
      </c>
      <c r="J12" s="152">
        <f t="shared" si="22"/>
        <v>4022.95</v>
      </c>
      <c r="K12" s="153">
        <f t="shared" si="15"/>
        <v>0.1206137195</v>
      </c>
      <c r="L12" s="153">
        <f t="shared" si="16"/>
        <v>0.0838552526</v>
      </c>
      <c r="M12" s="154" t="str">
        <f>IFERROR(__xludf.DUMMYFUNCTION(" SUBSTITUTE(ImportHTML(CONCATENATE(""http://iss.moex.com/iss/engines/stock/markets/shares/boards/TQBR/securities.html?securities="", C12,""&amp;marketdata.columns=LAST&amp;iss.meta=off&amp;iss.only=marketdata""),""table"",1), ""."", "","")"),"5843")</f>
        <v>5843</v>
      </c>
      <c r="N12" s="150">
        <f t="shared" si="17"/>
        <v>64273</v>
      </c>
      <c r="O12" s="155">
        <f t="shared" si="18"/>
        <v>1.043309561</v>
      </c>
      <c r="P12" s="156">
        <f t="shared" si="19"/>
        <v>0.725348552</v>
      </c>
      <c r="Q12" s="95">
        <f>SUMPRODUCT(Q9:Q11, R9:R11)</f>
        <v>525.2617377</v>
      </c>
    </row>
    <row r="13">
      <c r="Q13" s="96">
        <f>today() - round(Q12,0)</f>
        <v>44088</v>
      </c>
    </row>
    <row r="14">
      <c r="B14" s="163" t="s">
        <v>3</v>
      </c>
      <c r="C14" s="164" t="s">
        <v>4</v>
      </c>
      <c r="D14" s="164" t="s">
        <v>7</v>
      </c>
      <c r="E14" s="164" t="s">
        <v>8</v>
      </c>
      <c r="F14" s="164" t="s">
        <v>9</v>
      </c>
      <c r="G14" s="164" t="s">
        <v>10</v>
      </c>
      <c r="H14" s="164" t="s">
        <v>11</v>
      </c>
      <c r="I14" s="164" t="s">
        <v>13</v>
      </c>
      <c r="J14" s="164" t="s">
        <v>14</v>
      </c>
      <c r="K14" s="164" t="s">
        <v>15</v>
      </c>
      <c r="L14" s="164" t="s">
        <v>16</v>
      </c>
      <c r="M14" s="164" t="s">
        <v>17</v>
      </c>
      <c r="N14" s="164" t="s">
        <v>18</v>
      </c>
      <c r="O14" s="164" t="s">
        <v>19</v>
      </c>
      <c r="P14" s="165" t="s">
        <v>20</v>
      </c>
      <c r="Q14" s="18"/>
      <c r="R14" s="18"/>
    </row>
    <row r="15">
      <c r="B15" s="158">
        <v>43753.0</v>
      </c>
      <c r="C15" s="65" t="str">
        <f t="shared" ref="C15:C18" si="23">HYPERLINK("https://ru.investing.com/equities/sberbank-p_rts","SBERP")</f>
        <v>SBERP</v>
      </c>
      <c r="D15" s="66">
        <v>200.69</v>
      </c>
      <c r="E15" s="166">
        <v>70.0</v>
      </c>
      <c r="F15" s="167">
        <f t="shared" ref="F15:F17" si="24">D15*E15</f>
        <v>14048.3</v>
      </c>
      <c r="G15" s="82">
        <f>42.14 + 23.71</f>
        <v>65.85</v>
      </c>
      <c r="H15" s="39">
        <f> 1309 + 1309</f>
        <v>2618</v>
      </c>
      <c r="I15" s="40">
        <f> 169 + 170.19</f>
        <v>339.19</v>
      </c>
      <c r="J15" s="168">
        <f t="shared" ref="J15:J17" si="25">H15-I15-G15</f>
        <v>2212.96</v>
      </c>
      <c r="K15" s="51">
        <f t="shared" ref="K15:K18" si="26">J15/F15</f>
        <v>0.1575251098</v>
      </c>
      <c r="L15" s="51">
        <f t="shared" ref="L15:L18" si="27">J15/F15/(TODAY()-B15)*365</f>
        <v>0.0668565873</v>
      </c>
      <c r="M15" s="169" t="str">
        <f>IFERROR(__xludf.DUMMYFUNCTION(" SUBSTITUTE(ImportHTML(CONCATENATE(""http://iss.moex.com/iss/engines/stock/markets/shares/boards/TQBR/securities.html?securities="", C15,""&amp;marketdata.columns=LAST&amp;iss.meta=off&amp;iss.only=marketdata""),""table"",1), ""."", "","")"),"220,64")</f>
        <v>220,64</v>
      </c>
      <c r="N15" s="170">
        <f t="shared" ref="N15:N18" si="28">M15*E15</f>
        <v>15444.8</v>
      </c>
      <c r="O15" s="171">
        <f t="shared" ref="O15:O18" si="29">(N15+J15-F15)/(F15+G15)</f>
        <v>0.2557334306</v>
      </c>
      <c r="P15" s="172">
        <f t="shared" ref="P15:P18" si="30">O15/(TODAY()-B15)*365</f>
        <v>0.1085380258</v>
      </c>
      <c r="Q15" s="57">
        <f t="shared" ref="Q15:Q17" si="31">today() - B15</f>
        <v>860</v>
      </c>
      <c r="R15" s="27">
        <f t="shared" ref="R15:R17" si="32">F15/SUM(F$15:F$17)</f>
        <v>0.4243571193</v>
      </c>
      <c r="T15" s="104"/>
    </row>
    <row r="16">
      <c r="B16" s="158">
        <v>44109.0</v>
      </c>
      <c r="C16" s="65" t="str">
        <f t="shared" si="23"/>
        <v>SBERP</v>
      </c>
      <c r="D16" s="66">
        <v>202.62</v>
      </c>
      <c r="E16" s="166">
        <v>70.0</v>
      </c>
      <c r="F16" s="86">
        <f t="shared" si="24"/>
        <v>14183.4</v>
      </c>
      <c r="G16" s="82">
        <v>42.55</v>
      </c>
      <c r="H16" s="39">
        <f> 1309</f>
        <v>1309</v>
      </c>
      <c r="I16" s="40">
        <f> 170.19</f>
        <v>170.19</v>
      </c>
      <c r="J16" s="173">
        <f t="shared" si="25"/>
        <v>1096.26</v>
      </c>
      <c r="K16" s="70">
        <f t="shared" si="26"/>
        <v>0.07729176361</v>
      </c>
      <c r="L16" s="70">
        <f t="shared" si="27"/>
        <v>0.05597518595</v>
      </c>
      <c r="M16" s="169" t="str">
        <f>IFERROR(__xludf.DUMMYFUNCTION(" SUBSTITUTE(ImportHTML(CONCATENATE(""http://iss.moex.com/iss/engines/stock/markets/shares/boards/TQBR/securities.html?securities="", C16,""&amp;marketdata.columns=LAST&amp;iss.meta=off&amp;iss.only=marketdata""),""table"",1), ""."", "","")"),"220,64")</f>
        <v>220,64</v>
      </c>
      <c r="N16" s="174">
        <f t="shared" si="28"/>
        <v>15444.8</v>
      </c>
      <c r="O16" s="171">
        <f t="shared" si="29"/>
        <v>0.1657295295</v>
      </c>
      <c r="P16" s="175">
        <f t="shared" si="30"/>
        <v>0.1200223775</v>
      </c>
      <c r="Q16" s="57">
        <f t="shared" si="31"/>
        <v>504</v>
      </c>
      <c r="R16" s="27">
        <f t="shared" si="32"/>
        <v>0.4284380862</v>
      </c>
      <c r="T16" s="104"/>
    </row>
    <row r="17">
      <c r="B17" s="176">
        <v>44230.0</v>
      </c>
      <c r="C17" s="177" t="str">
        <f t="shared" si="23"/>
        <v>SBERP</v>
      </c>
      <c r="D17" s="178">
        <v>243.66</v>
      </c>
      <c r="E17" s="179">
        <v>20.0</v>
      </c>
      <c r="F17" s="86">
        <f t="shared" si="24"/>
        <v>4873.2</v>
      </c>
      <c r="G17" s="180">
        <v>14.62</v>
      </c>
      <c r="H17" s="181">
        <f> 374</f>
        <v>374</v>
      </c>
      <c r="I17" s="182">
        <f> 48.63</f>
        <v>48.63</v>
      </c>
      <c r="J17" s="173">
        <f t="shared" si="25"/>
        <v>310.75</v>
      </c>
      <c r="K17" s="70">
        <f t="shared" si="26"/>
        <v>0.06376713453</v>
      </c>
      <c r="L17" s="70">
        <f t="shared" si="27"/>
        <v>0.0607702457</v>
      </c>
      <c r="M17" s="183" t="str">
        <f>IFERROR(__xludf.DUMMYFUNCTION(" SUBSTITUTE(ImportHTML(CONCATENATE(""http://iss.moex.com/iss/engines/stock/markets/shares/boards/TQBR/securities.html?securities="", C17,""&amp;marketdata.columns=LAST&amp;iss.meta=off&amp;iss.only=marketdata""),""table"",1), ""."", "","")"),"220,64")</f>
        <v>220,64</v>
      </c>
      <c r="N17" s="174">
        <f t="shared" si="28"/>
        <v>4412.8</v>
      </c>
      <c r="O17" s="184">
        <f t="shared" si="29"/>
        <v>-0.03061692125</v>
      </c>
      <c r="P17" s="175">
        <f t="shared" si="30"/>
        <v>-0.02917800589</v>
      </c>
      <c r="Q17" s="57">
        <f t="shared" si="31"/>
        <v>383</v>
      </c>
      <c r="R17" s="27">
        <f t="shared" si="32"/>
        <v>0.1472047945</v>
      </c>
      <c r="T17" s="104"/>
    </row>
    <row r="18">
      <c r="B18" s="185">
        <f>Q19</f>
        <v>43976</v>
      </c>
      <c r="C18" s="186" t="str">
        <f t="shared" si="23"/>
        <v>SBERP</v>
      </c>
      <c r="D18" s="187">
        <f>F18/E18</f>
        <v>206.905625</v>
      </c>
      <c r="E18" s="188">
        <f t="shared" ref="E18:J18" si="33">SUM(E15:E17)</f>
        <v>160</v>
      </c>
      <c r="F18" s="187">
        <f t="shared" si="33"/>
        <v>33104.9</v>
      </c>
      <c r="G18" s="187">
        <f t="shared" si="33"/>
        <v>123.02</v>
      </c>
      <c r="H18" s="188">
        <f t="shared" si="33"/>
        <v>4301</v>
      </c>
      <c r="I18" s="189">
        <f t="shared" si="33"/>
        <v>558.01</v>
      </c>
      <c r="J18" s="190">
        <f t="shared" si="33"/>
        <v>3619.97</v>
      </c>
      <c r="K18" s="191">
        <f t="shared" si="26"/>
        <v>0.109348465</v>
      </c>
      <c r="L18" s="191">
        <f t="shared" si="27"/>
        <v>0.0626564988</v>
      </c>
      <c r="M18" s="189" t="str">
        <f>IFERROR(__xludf.DUMMYFUNCTION(" SUBSTITUTE(ImportHTML(CONCATENATE(""http://iss.moex.com/iss/engines/stock/markets/shares/boards/TQBR/securities.html?securities="", C18,""&amp;marketdata.columns=LAST&amp;iss.meta=off&amp;iss.only=marketdata""),""table"",1), ""."", "","")"),"220,64")</f>
        <v>220,64</v>
      </c>
      <c r="N18" s="187">
        <f t="shared" si="28"/>
        <v>35302.4</v>
      </c>
      <c r="O18" s="192">
        <f t="shared" si="29"/>
        <v>0.1750777659</v>
      </c>
      <c r="P18" s="193">
        <f t="shared" si="30"/>
        <v>0.100319285</v>
      </c>
      <c r="Q18" s="95">
        <f>SUMPRODUCT(Q15:Q17, R15:R17)</f>
        <v>637.2593544</v>
      </c>
    </row>
    <row r="19">
      <c r="Q19" s="96">
        <f>today() - round(Q18,0)</f>
        <v>43976</v>
      </c>
    </row>
    <row r="20">
      <c r="B20" s="118" t="s">
        <v>3</v>
      </c>
      <c r="C20" s="119" t="s">
        <v>4</v>
      </c>
      <c r="D20" s="119" t="s">
        <v>7</v>
      </c>
      <c r="E20" s="119" t="s">
        <v>8</v>
      </c>
      <c r="F20" s="119" t="s">
        <v>9</v>
      </c>
      <c r="G20" s="119" t="s">
        <v>10</v>
      </c>
      <c r="H20" s="119" t="s">
        <v>11</v>
      </c>
      <c r="I20" s="119" t="s">
        <v>13</v>
      </c>
      <c r="J20" s="119" t="s">
        <v>14</v>
      </c>
      <c r="K20" s="119" t="s">
        <v>15</v>
      </c>
      <c r="L20" s="119" t="s">
        <v>16</v>
      </c>
      <c r="M20" s="119" t="s">
        <v>17</v>
      </c>
      <c r="N20" s="119" t="s">
        <v>18</v>
      </c>
      <c r="O20" s="119" t="s">
        <v>19</v>
      </c>
      <c r="P20" s="120" t="s">
        <v>20</v>
      </c>
      <c r="Q20" s="18"/>
      <c r="R20" s="18"/>
    </row>
    <row r="21">
      <c r="B21" s="194">
        <v>43753.0</v>
      </c>
      <c r="C21" s="195" t="str">
        <f t="shared" ref="C21:C27" si="34">HYPERLINK("https://ru.investing.com/equities/mrsk-cip","MRKP")</f>
        <v>MRKP</v>
      </c>
      <c r="D21" s="196">
        <v>0.2469</v>
      </c>
      <c r="E21" s="124">
        <v>50000.0</v>
      </c>
      <c r="F21" s="125">
        <f t="shared" ref="F21:F26" si="35">D21*E21</f>
        <v>12345</v>
      </c>
      <c r="G21" s="157">
        <f>37.03 + 20.84</f>
        <v>57.87</v>
      </c>
      <c r="H21" s="197">
        <f> 816.2 + 1296.31</f>
        <v>2112.51</v>
      </c>
      <c r="I21" s="197">
        <f> 106 + 168.53</f>
        <v>274.53</v>
      </c>
      <c r="J21" s="129">
        <f t="shared" ref="J21:J26" si="36">H21-I21-G21</f>
        <v>1780.11</v>
      </c>
      <c r="K21" s="130">
        <f t="shared" ref="K21:K27" si="37">J21/F21</f>
        <v>0.1441968408</v>
      </c>
      <c r="L21" s="130">
        <f t="shared" ref="L21:L27" si="38">J21/F21/(TODAY()-B21)*365</f>
        <v>0.06119982198</v>
      </c>
      <c r="M21" s="131" t="str">
        <f>IFERROR(__xludf.DUMMYFUNCTION(" SUBSTITUTE(ImportHTML(CONCATENATE(""http://iss.moex.com/iss/engines/stock/markets/shares/boards/TQBR/securities.html?securities="", C21,""&amp;marketdata.columns=LAST&amp;iss.meta=off&amp;iss.only=marketdata""),""table"",1), ""."", "","")"),"0,2008")</f>
        <v>0,2008</v>
      </c>
      <c r="N21" s="157">
        <f t="shared" ref="N21:N27" si="39">M21*E21</f>
        <v>10040</v>
      </c>
      <c r="O21" s="132">
        <f t="shared" ref="O21:O27" si="40">(N21+J21-F21)/(F21+G21)</f>
        <v>-0.04232004367</v>
      </c>
      <c r="P21" s="133">
        <f t="shared" ref="P21:P27" si="41">O21/(TODAY()-B21)*365</f>
        <v>-0.01796141388</v>
      </c>
      <c r="Q21" s="57">
        <f t="shared" ref="Q21:Q26" si="42">today() - B21</f>
        <v>860</v>
      </c>
      <c r="R21" s="27">
        <f t="shared" ref="R21:R26" si="43">F21/SUM(F$21:F$26)</f>
        <v>0.2512721352</v>
      </c>
      <c r="S21" s="104"/>
      <c r="T21" s="104"/>
    </row>
    <row r="22">
      <c r="B22" s="158">
        <v>44089.0</v>
      </c>
      <c r="C22" s="65" t="str">
        <f t="shared" si="34"/>
        <v>MRKP</v>
      </c>
      <c r="D22" s="72">
        <v>0.2202</v>
      </c>
      <c r="E22" s="66">
        <v>10000.0</v>
      </c>
      <c r="F22" s="83">
        <f t="shared" si="35"/>
        <v>2202</v>
      </c>
      <c r="G22" s="82">
        <v>6.61</v>
      </c>
      <c r="H22" s="66">
        <f> 259.26</f>
        <v>259.26</v>
      </c>
      <c r="I22" s="66">
        <f> 33.71</f>
        <v>33.71</v>
      </c>
      <c r="J22" s="37">
        <f t="shared" si="36"/>
        <v>218.94</v>
      </c>
      <c r="K22" s="38">
        <f t="shared" si="37"/>
        <v>0.09942779292</v>
      </c>
      <c r="L22" s="38">
        <f t="shared" si="38"/>
        <v>0.06925790919</v>
      </c>
      <c r="M22" s="40" t="str">
        <f>IFERROR(__xludf.DUMMYFUNCTION(" SUBSTITUTE(ImportHTML(CONCATENATE(""http://iss.moex.com/iss/engines/stock/markets/shares/boards/TQBR/securities.html?securities="", C22,""&amp;marketdata.columns=LAST&amp;iss.meta=off&amp;iss.only=marketdata""),""table"",1), ""."", "","")"),"0,2008")</f>
        <v>0,2008</v>
      </c>
      <c r="N22" s="85">
        <f t="shared" si="39"/>
        <v>2008</v>
      </c>
      <c r="O22" s="41">
        <f t="shared" si="40"/>
        <v>0.01129217019</v>
      </c>
      <c r="P22" s="135">
        <f t="shared" si="41"/>
        <v>0.007865729234</v>
      </c>
      <c r="Q22" s="57">
        <f t="shared" si="42"/>
        <v>524</v>
      </c>
      <c r="R22" s="27">
        <f t="shared" si="43"/>
        <v>0.04481986566</v>
      </c>
      <c r="S22" s="104"/>
      <c r="T22" s="104"/>
    </row>
    <row r="23">
      <c r="B23" s="158">
        <v>44193.0</v>
      </c>
      <c r="C23" s="65" t="str">
        <f t="shared" si="34"/>
        <v>MRKP</v>
      </c>
      <c r="D23" s="82">
        <v>0.2431</v>
      </c>
      <c r="E23" s="66">
        <v>70000.0</v>
      </c>
      <c r="F23" s="83">
        <f t="shared" si="35"/>
        <v>17017</v>
      </c>
      <c r="G23" s="82">
        <v>51.05</v>
      </c>
      <c r="H23" s="66">
        <f> 1814.83</f>
        <v>1814.83</v>
      </c>
      <c r="I23" s="66">
        <f> 235.94</f>
        <v>235.94</v>
      </c>
      <c r="J23" s="37">
        <f t="shared" si="36"/>
        <v>1527.84</v>
      </c>
      <c r="K23" s="38">
        <f t="shared" si="37"/>
        <v>0.08978315802</v>
      </c>
      <c r="L23" s="38">
        <f t="shared" si="38"/>
        <v>0.07802583971</v>
      </c>
      <c r="M23" s="40" t="str">
        <f>IFERROR(__xludf.DUMMYFUNCTION(" SUBSTITUTE(ImportHTML(CONCATENATE(""http://iss.moex.com/iss/engines/stock/markets/shares/boards/TQBR/securities.html?securities="", C23,""&amp;marketdata.columns=LAST&amp;iss.meta=off&amp;iss.only=marketdata""),""table"",1), ""."", "","")"),"0,2008")</f>
        <v>0,2008</v>
      </c>
      <c r="N23" s="85">
        <f t="shared" si="39"/>
        <v>14056</v>
      </c>
      <c r="O23" s="41">
        <f t="shared" si="40"/>
        <v>-0.0839674128</v>
      </c>
      <c r="P23" s="135">
        <f t="shared" si="41"/>
        <v>-0.07297168017</v>
      </c>
      <c r="Q23" s="57">
        <f t="shared" si="42"/>
        <v>420</v>
      </c>
      <c r="R23" s="27">
        <f t="shared" si="43"/>
        <v>0.346366782</v>
      </c>
      <c r="S23" s="104"/>
      <c r="T23" s="104"/>
    </row>
    <row r="24">
      <c r="B24" s="134">
        <v>44230.0</v>
      </c>
      <c r="C24" s="65" t="str">
        <f t="shared" si="34"/>
        <v>MRKP</v>
      </c>
      <c r="D24" s="31">
        <v>0.2435</v>
      </c>
      <c r="E24" s="31">
        <v>30000.0</v>
      </c>
      <c r="F24" s="83">
        <f t="shared" si="35"/>
        <v>7305</v>
      </c>
      <c r="G24" s="198">
        <v>21.91</v>
      </c>
      <c r="H24" s="66">
        <f> 777.79</f>
        <v>777.79</v>
      </c>
      <c r="I24" s="66">
        <f> 101.12</f>
        <v>101.12</v>
      </c>
      <c r="J24" s="37">
        <f t="shared" si="36"/>
        <v>654.76</v>
      </c>
      <c r="K24" s="38">
        <f t="shared" si="37"/>
        <v>0.08963175907</v>
      </c>
      <c r="L24" s="38">
        <f t="shared" si="38"/>
        <v>0.08541930042</v>
      </c>
      <c r="M24" s="40" t="str">
        <f>IFERROR(__xludf.DUMMYFUNCTION(" SUBSTITUTE(ImportHTML(CONCATENATE(""http://iss.moex.com/iss/engines/stock/markets/shares/boards/TQBR/securities.html?securities="", C24,""&amp;marketdata.columns=LAST&amp;iss.meta=off&amp;iss.only=marketdata""),""table"",1), ""."", "","")"),"0,2008")</f>
        <v>0,2008</v>
      </c>
      <c r="N24" s="85">
        <f t="shared" si="39"/>
        <v>6024</v>
      </c>
      <c r="O24" s="41">
        <f t="shared" si="40"/>
        <v>-0.08547122866</v>
      </c>
      <c r="P24" s="135">
        <f t="shared" si="41"/>
        <v>-0.08145430408</v>
      </c>
      <c r="Q24" s="57">
        <f t="shared" si="42"/>
        <v>383</v>
      </c>
      <c r="R24" s="27">
        <f t="shared" si="43"/>
        <v>0.1486871565</v>
      </c>
      <c r="S24" s="104"/>
      <c r="T24" s="104"/>
    </row>
    <row r="25">
      <c r="B25" s="134">
        <v>44349.0</v>
      </c>
      <c r="C25" s="65" t="str">
        <f t="shared" si="34"/>
        <v>MRKP</v>
      </c>
      <c r="D25" s="31">
        <v>0.2944</v>
      </c>
      <c r="E25" s="31">
        <v>10000.0</v>
      </c>
      <c r="F25" s="83">
        <f t="shared" si="35"/>
        <v>2944</v>
      </c>
      <c r="G25" s="198">
        <v>8.83</v>
      </c>
      <c r="H25" s="66">
        <v>259.26</v>
      </c>
      <c r="I25" s="66">
        <v>33.71</v>
      </c>
      <c r="J25" s="37">
        <f t="shared" si="36"/>
        <v>216.72</v>
      </c>
      <c r="K25" s="38">
        <f t="shared" si="37"/>
        <v>0.07361413043</v>
      </c>
      <c r="L25" s="38">
        <f t="shared" si="38"/>
        <v>0.1017771122</v>
      </c>
      <c r="M25" s="40" t="str">
        <f>IFERROR(__xludf.DUMMYFUNCTION(" SUBSTITUTE(ImportHTML(CONCATENATE(""http://iss.moex.com/iss/engines/stock/markets/shares/boards/TQBR/securities.html?securities="", C25,""&amp;marketdata.columns=LAST&amp;iss.meta=off&amp;iss.only=marketdata""),""table"",1), ""."", "","")"),"0,2008")</f>
        <v>0,2008</v>
      </c>
      <c r="N25" s="85">
        <f t="shared" si="39"/>
        <v>2008</v>
      </c>
      <c r="O25" s="41">
        <f t="shared" si="40"/>
        <v>-0.2435900475</v>
      </c>
      <c r="P25" s="135">
        <f t="shared" si="41"/>
        <v>-0.3367816945</v>
      </c>
      <c r="Q25" s="57">
        <f t="shared" si="42"/>
        <v>264</v>
      </c>
      <c r="R25" s="27">
        <f t="shared" si="43"/>
        <v>0.05992265418</v>
      </c>
      <c r="S25" s="104"/>
      <c r="T25" s="104"/>
    </row>
    <row r="26">
      <c r="B26" s="136">
        <v>44426.0</v>
      </c>
      <c r="C26" s="199" t="str">
        <f t="shared" si="34"/>
        <v>MRKP</v>
      </c>
      <c r="D26" s="138">
        <v>0.2439</v>
      </c>
      <c r="E26" s="138">
        <v>30000.0</v>
      </c>
      <c r="F26" s="140">
        <f t="shared" si="35"/>
        <v>7317</v>
      </c>
      <c r="G26" s="200">
        <v>21.95</v>
      </c>
      <c r="H26" s="139"/>
      <c r="I26" s="139"/>
      <c r="J26" s="143">
        <f t="shared" si="36"/>
        <v>-21.95</v>
      </c>
      <c r="K26" s="144">
        <f t="shared" si="37"/>
        <v>-0.002999863332</v>
      </c>
      <c r="L26" s="144">
        <f t="shared" si="38"/>
        <v>-0.005855348215</v>
      </c>
      <c r="M26" s="145" t="str">
        <f>IFERROR(__xludf.DUMMYFUNCTION(" SUBSTITUTE(ImportHTML(CONCATENATE(""http://iss.moex.com/iss/engines/stock/markets/shares/boards/TQBR/securities.html?securities="", C26,""&amp;marketdata.columns=LAST&amp;iss.meta=off&amp;iss.only=marketdata""),""table"",1), ""."", "","")"),"0,2008")</f>
        <v>0,2008</v>
      </c>
      <c r="N26" s="162">
        <f t="shared" si="39"/>
        <v>6024</v>
      </c>
      <c r="O26" s="146">
        <f t="shared" si="40"/>
        <v>-0.1791741325</v>
      </c>
      <c r="P26" s="147">
        <f t="shared" si="41"/>
        <v>-0.3497249111</v>
      </c>
      <c r="Q26" s="57">
        <f t="shared" si="42"/>
        <v>187</v>
      </c>
      <c r="R26" s="27">
        <f t="shared" si="43"/>
        <v>0.1489314065</v>
      </c>
      <c r="S26" s="104"/>
      <c r="T26" s="104"/>
    </row>
    <row r="27">
      <c r="B27" s="148">
        <f>Q28</f>
        <v>44127</v>
      </c>
      <c r="C27" s="201" t="str">
        <f t="shared" si="34"/>
        <v>MRKP</v>
      </c>
      <c r="D27" s="202">
        <f>F27/E27</f>
        <v>0.24565</v>
      </c>
      <c r="E27" s="151">
        <f t="shared" ref="E27:J27" si="44">SUM(E21:E26)</f>
        <v>200000</v>
      </c>
      <c r="F27" s="150">
        <f t="shared" si="44"/>
        <v>49130</v>
      </c>
      <c r="G27" s="150">
        <f t="shared" si="44"/>
        <v>168.22</v>
      </c>
      <c r="H27" s="151">
        <f t="shared" si="44"/>
        <v>5223.65</v>
      </c>
      <c r="I27" s="151">
        <f t="shared" si="44"/>
        <v>679.01</v>
      </c>
      <c r="J27" s="152">
        <f t="shared" si="44"/>
        <v>4376.42</v>
      </c>
      <c r="K27" s="153">
        <f t="shared" si="37"/>
        <v>0.08907836353</v>
      </c>
      <c r="L27" s="153">
        <f t="shared" si="38"/>
        <v>0.06690041705</v>
      </c>
      <c r="M27" s="154" t="str">
        <f>IFERROR(__xludf.DUMMYFUNCTION(" SUBSTITUTE(ImportHTML(CONCATENATE(""http://iss.moex.com/iss/engines/stock/markets/shares/boards/TQBR/securities.html?securities="", C27,""&amp;marketdata.columns=LAST&amp;iss.meta=off&amp;iss.only=marketdata""),""table"",1), ""."", "","")"),"0,2008")</f>
        <v>0,2008</v>
      </c>
      <c r="N27" s="150">
        <f t="shared" si="39"/>
        <v>40160</v>
      </c>
      <c r="O27" s="155">
        <f t="shared" si="40"/>
        <v>-0.0931794292</v>
      </c>
      <c r="P27" s="156">
        <f t="shared" si="41"/>
        <v>-0.06998043551</v>
      </c>
      <c r="Q27" s="95">
        <f>SUMPRODUCT(Q21:Q26, R21:R26)</f>
        <v>485.6706289</v>
      </c>
    </row>
    <row r="28">
      <c r="Q28" s="96">
        <f>today() - round(Q27,0)</f>
        <v>44127</v>
      </c>
    </row>
    <row r="29">
      <c r="B29" s="118" t="s">
        <v>3</v>
      </c>
      <c r="C29" s="119" t="s">
        <v>4</v>
      </c>
      <c r="D29" s="119" t="s">
        <v>7</v>
      </c>
      <c r="E29" s="119" t="s">
        <v>8</v>
      </c>
      <c r="F29" s="119" t="s">
        <v>9</v>
      </c>
      <c r="G29" s="119" t="s">
        <v>10</v>
      </c>
      <c r="H29" s="119" t="s">
        <v>11</v>
      </c>
      <c r="I29" s="119" t="s">
        <v>13</v>
      </c>
      <c r="J29" s="119" t="s">
        <v>14</v>
      </c>
      <c r="K29" s="119" t="s">
        <v>15</v>
      </c>
      <c r="L29" s="119" t="s">
        <v>16</v>
      </c>
      <c r="M29" s="119" t="s">
        <v>17</v>
      </c>
      <c r="N29" s="119" t="s">
        <v>18</v>
      </c>
      <c r="O29" s="119" t="s">
        <v>19</v>
      </c>
      <c r="P29" s="120" t="s">
        <v>20</v>
      </c>
      <c r="Q29" s="18"/>
      <c r="R29" s="18"/>
    </row>
    <row r="30">
      <c r="B30" s="194">
        <v>43753.0</v>
      </c>
      <c r="C30" s="195" t="str">
        <f t="shared" ref="C30:C36" si="45">HYPERLINK("https://ru.investing.com/equities/lsr-group_rts","LSRG")</f>
        <v>LSRG</v>
      </c>
      <c r="D30" s="124">
        <v>711.4</v>
      </c>
      <c r="E30" s="124">
        <v>23.0</v>
      </c>
      <c r="F30" s="125">
        <f t="shared" ref="F30:F35" si="46">D30*E30</f>
        <v>16362.2</v>
      </c>
      <c r="G30" s="157">
        <f>49.09 + 27.62</f>
        <v>76.71</v>
      </c>
      <c r="H30" s="197">
        <f> 690 + 460 + 897</f>
        <v>2047</v>
      </c>
      <c r="I30" s="123">
        <f> 90 + 60 + 116.77</f>
        <v>266.77</v>
      </c>
      <c r="J30" s="129">
        <f t="shared" ref="J30:J35" si="47">H30-I30-G30</f>
        <v>1703.52</v>
      </c>
      <c r="K30" s="130">
        <f t="shared" ref="K30:K36" si="48">J30/F30</f>
        <v>0.1041131388</v>
      </c>
      <c r="L30" s="130">
        <f t="shared" ref="L30:L36" si="49">J30/F30/(TODAY()-B30)*365</f>
        <v>0.0441875531</v>
      </c>
      <c r="M30" s="131" t="str">
        <f>IFERROR(__xludf.DUMMYFUNCTION(" SUBSTITUTE(ImportHTML(CONCATENATE(""http://iss.moex.com/iss/engines/stock/markets/shares/boards/TQBR/securities.html?securities="", C30,""&amp;marketdata.columns=LAST&amp;iss.meta=off&amp;iss.only=marketdata""),""table"",1), ""."", "","")"),"730,6")</f>
        <v>730,6</v>
      </c>
      <c r="N30" s="157">
        <f t="shared" ref="N30:N36" si="50">M30*E30</f>
        <v>16803.8</v>
      </c>
      <c r="O30" s="132">
        <f t="shared" ref="O30:O36" si="51">(N30+J30-F30)/(F30+G30)</f>
        <v>0.1304904036</v>
      </c>
      <c r="P30" s="133">
        <f t="shared" ref="P30:P36" si="52">O30/(TODAY()-B30)*365</f>
        <v>0.055382555</v>
      </c>
      <c r="Q30" s="57">
        <f t="shared" ref="Q30:Q35" si="53">today() - B30</f>
        <v>860</v>
      </c>
      <c r="R30" s="27">
        <f t="shared" ref="R30:R35" si="54">F30/SUM(F$30:F$35)</f>
        <v>0.2913715057</v>
      </c>
      <c r="T30" s="104"/>
    </row>
    <row r="31">
      <c r="B31" s="158">
        <v>44193.0</v>
      </c>
      <c r="C31" s="65" t="str">
        <f t="shared" si="45"/>
        <v>LSRG</v>
      </c>
      <c r="D31" s="82">
        <v>862.0</v>
      </c>
      <c r="E31" s="66">
        <v>13.0</v>
      </c>
      <c r="F31" s="83">
        <f t="shared" si="46"/>
        <v>11206</v>
      </c>
      <c r="G31" s="82">
        <v>33.62</v>
      </c>
      <c r="H31" s="39">
        <f> 507</f>
        <v>507</v>
      </c>
      <c r="I31" s="159">
        <f> 66</f>
        <v>66</v>
      </c>
      <c r="J31" s="37">
        <f t="shared" si="47"/>
        <v>407.38</v>
      </c>
      <c r="K31" s="38">
        <f t="shared" si="48"/>
        <v>0.03635373907</v>
      </c>
      <c r="L31" s="38">
        <f t="shared" si="49"/>
        <v>0.03159313038</v>
      </c>
      <c r="M31" s="40" t="str">
        <f>IFERROR(__xludf.DUMMYFUNCTION(" SUBSTITUTE(ImportHTML(CONCATENATE(""http://iss.moex.com/iss/engines/stock/markets/shares/boards/TQBR/securities.html?securities="", C31,""&amp;marketdata.columns=LAST&amp;iss.meta=off&amp;iss.only=marketdata""),""table"",1), ""."", "","")"),"730,6")</f>
        <v>730,6</v>
      </c>
      <c r="N31" s="85">
        <f t="shared" si="50"/>
        <v>9497.8</v>
      </c>
      <c r="O31" s="41">
        <f t="shared" si="51"/>
        <v>-0.1157352295</v>
      </c>
      <c r="P31" s="135">
        <f t="shared" si="52"/>
        <v>-0.1005794256</v>
      </c>
      <c r="Q31" s="57">
        <f t="shared" si="53"/>
        <v>420</v>
      </c>
      <c r="R31" s="27">
        <f t="shared" si="54"/>
        <v>0.1995519608</v>
      </c>
      <c r="T31" s="104"/>
    </row>
    <row r="32">
      <c r="B32" s="134">
        <v>44230.0</v>
      </c>
      <c r="C32" s="65" t="str">
        <f t="shared" si="45"/>
        <v>LSRG</v>
      </c>
      <c r="D32" s="31">
        <v>939.8</v>
      </c>
      <c r="E32" s="31">
        <v>5.0</v>
      </c>
      <c r="F32" s="83">
        <f t="shared" si="46"/>
        <v>4699</v>
      </c>
      <c r="G32" s="198">
        <v>14.1</v>
      </c>
      <c r="H32" s="39">
        <f> 195</f>
        <v>195</v>
      </c>
      <c r="I32" s="159">
        <f> 25.38</f>
        <v>25.38</v>
      </c>
      <c r="J32" s="37">
        <f t="shared" si="47"/>
        <v>155.52</v>
      </c>
      <c r="K32" s="38">
        <f t="shared" si="48"/>
        <v>0.03309640349</v>
      </c>
      <c r="L32" s="38">
        <f t="shared" si="49"/>
        <v>0.03154095894</v>
      </c>
      <c r="M32" s="40" t="str">
        <f>IFERROR(__xludf.DUMMYFUNCTION(" SUBSTITUTE(ImportHTML(CONCATENATE(""http://iss.moex.com/iss/engines/stock/markets/shares/boards/TQBR/securities.html?securities="", C32,""&amp;marketdata.columns=LAST&amp;iss.meta=off&amp;iss.only=marketdata""),""table"",1), ""."", "","")"),"730,6")</f>
        <v>730,6</v>
      </c>
      <c r="N32" s="85">
        <f t="shared" si="50"/>
        <v>3653</v>
      </c>
      <c r="O32" s="41">
        <f t="shared" si="51"/>
        <v>-0.1889372175</v>
      </c>
      <c r="P32" s="135">
        <f t="shared" si="52"/>
        <v>-0.1800576616</v>
      </c>
      <c r="Q32" s="57">
        <f t="shared" si="53"/>
        <v>383</v>
      </c>
      <c r="R32" s="27">
        <f t="shared" si="54"/>
        <v>0.08367791039</v>
      </c>
      <c r="T32" s="104"/>
    </row>
    <row r="33">
      <c r="B33" s="158">
        <v>44293.0</v>
      </c>
      <c r="C33" s="65" t="str">
        <f t="shared" si="45"/>
        <v>LSRG</v>
      </c>
      <c r="D33" s="82">
        <v>849.6</v>
      </c>
      <c r="E33" s="66">
        <v>11.0</v>
      </c>
      <c r="F33" s="83">
        <f t="shared" si="46"/>
        <v>9345.6</v>
      </c>
      <c r="G33" s="82">
        <v>28.03</v>
      </c>
      <c r="H33" s="39">
        <f> 429</f>
        <v>429</v>
      </c>
      <c r="I33" s="159">
        <f> 55.85</f>
        <v>55.85</v>
      </c>
      <c r="J33" s="37">
        <f t="shared" si="47"/>
        <v>345.12</v>
      </c>
      <c r="K33" s="38">
        <f t="shared" si="48"/>
        <v>0.03692860812</v>
      </c>
      <c r="L33" s="38">
        <f t="shared" si="49"/>
        <v>0.04212169363</v>
      </c>
      <c r="M33" s="40" t="str">
        <f>IFERROR(__xludf.DUMMYFUNCTION(" SUBSTITUTE(ImportHTML(CONCATENATE(""http://iss.moex.com/iss/engines/stock/markets/shares/boards/TQBR/securities.html?securities="", C33,""&amp;marketdata.columns=LAST&amp;iss.meta=off&amp;iss.only=marketdata""),""table"",1), ""."", "","")"),"730,6")</f>
        <v>730,6</v>
      </c>
      <c r="N33" s="85">
        <f t="shared" si="50"/>
        <v>8036.6</v>
      </c>
      <c r="O33" s="41">
        <f t="shared" si="51"/>
        <v>-0.1028288934</v>
      </c>
      <c r="P33" s="135">
        <f t="shared" si="52"/>
        <v>-0.1172892065</v>
      </c>
      <c r="Q33" s="57">
        <f t="shared" si="53"/>
        <v>320</v>
      </c>
      <c r="R33" s="27">
        <f t="shared" si="54"/>
        <v>0.1664227026</v>
      </c>
      <c r="T33" s="104"/>
    </row>
    <row r="34">
      <c r="B34" s="158">
        <v>44349.0</v>
      </c>
      <c r="C34" s="65" t="str">
        <f t="shared" si="45"/>
        <v>LSRG</v>
      </c>
      <c r="D34" s="82">
        <v>780.575</v>
      </c>
      <c r="E34" s="66">
        <v>8.0</v>
      </c>
      <c r="F34" s="83">
        <f t="shared" si="46"/>
        <v>6244.6</v>
      </c>
      <c r="G34" s="82">
        <v>18.73</v>
      </c>
      <c r="H34" s="39"/>
      <c r="I34" s="159"/>
      <c r="J34" s="37">
        <f t="shared" si="47"/>
        <v>-18.73</v>
      </c>
      <c r="K34" s="38">
        <f t="shared" si="48"/>
        <v>-0.002999391474</v>
      </c>
      <c r="L34" s="38">
        <f t="shared" si="49"/>
        <v>-0.00414688594</v>
      </c>
      <c r="M34" s="40" t="str">
        <f>IFERROR(__xludf.DUMMYFUNCTION(" SUBSTITUTE(ImportHTML(CONCATENATE(""http://iss.moex.com/iss/engines/stock/markets/shares/boards/TQBR/securities.html?securities="", C34,""&amp;marketdata.columns=LAST&amp;iss.meta=off&amp;iss.only=marketdata""),""table"",1), ""."", "","")"),"730,6")</f>
        <v>730,6</v>
      </c>
      <c r="N34" s="85">
        <f t="shared" si="50"/>
        <v>5844.8</v>
      </c>
      <c r="O34" s="41">
        <f t="shared" si="51"/>
        <v>-0.06682228144</v>
      </c>
      <c r="P34" s="135">
        <f t="shared" si="52"/>
        <v>-0.09238686638</v>
      </c>
      <c r="Q34" s="57">
        <f t="shared" si="53"/>
        <v>264</v>
      </c>
      <c r="R34" s="27">
        <f t="shared" si="54"/>
        <v>0.1112013363</v>
      </c>
      <c r="T34" s="104"/>
    </row>
    <row r="35">
      <c r="B35" s="160">
        <v>44461.0</v>
      </c>
      <c r="C35" s="199" t="str">
        <f t="shared" si="45"/>
        <v>LSRG</v>
      </c>
      <c r="D35" s="141">
        <v>754.4</v>
      </c>
      <c r="E35" s="139">
        <v>11.0</v>
      </c>
      <c r="F35" s="140">
        <f t="shared" si="46"/>
        <v>8298.4</v>
      </c>
      <c r="G35" s="141">
        <v>24.89</v>
      </c>
      <c r="H35" s="142"/>
      <c r="I35" s="161"/>
      <c r="J35" s="143">
        <f t="shared" si="47"/>
        <v>-24.89</v>
      </c>
      <c r="K35" s="144">
        <f t="shared" si="48"/>
        <v>-0.002999373373</v>
      </c>
      <c r="L35" s="144">
        <f t="shared" si="49"/>
        <v>-0.00720244264</v>
      </c>
      <c r="M35" s="145" t="str">
        <f>IFERROR(__xludf.DUMMYFUNCTION(" SUBSTITUTE(ImportHTML(CONCATENATE(""http://iss.moex.com/iss/engines/stock/markets/shares/boards/TQBR/securities.html?securities="", C35,""&amp;marketdata.columns=LAST&amp;iss.meta=off&amp;iss.only=marketdata""),""table"",1), ""."", "","")"),"730,6")</f>
        <v>730,6</v>
      </c>
      <c r="N35" s="162">
        <f t="shared" si="50"/>
        <v>8036.6</v>
      </c>
      <c r="O35" s="146">
        <f t="shared" si="51"/>
        <v>-0.03444431229</v>
      </c>
      <c r="P35" s="147">
        <f t="shared" si="52"/>
        <v>-0.08271167095</v>
      </c>
      <c r="Q35" s="57">
        <f t="shared" si="53"/>
        <v>152</v>
      </c>
      <c r="R35" s="27">
        <f t="shared" si="54"/>
        <v>0.1477745843</v>
      </c>
      <c r="T35" s="104"/>
    </row>
    <row r="36">
      <c r="B36" s="148">
        <f>Q37</f>
        <v>44141</v>
      </c>
      <c r="C36" s="201" t="str">
        <f t="shared" si="45"/>
        <v>LSRG</v>
      </c>
      <c r="D36" s="150">
        <f>F36/E36</f>
        <v>790.9267606</v>
      </c>
      <c r="E36" s="151">
        <f t="shared" ref="E36:J36" si="55">SUM(E30:E35)</f>
        <v>71</v>
      </c>
      <c r="F36" s="150">
        <f t="shared" si="55"/>
        <v>56155.8</v>
      </c>
      <c r="G36" s="150">
        <f t="shared" si="55"/>
        <v>196.08</v>
      </c>
      <c r="H36" s="151">
        <f t="shared" si="55"/>
        <v>3178</v>
      </c>
      <c r="I36" s="154">
        <f t="shared" si="55"/>
        <v>414</v>
      </c>
      <c r="J36" s="152">
        <f t="shared" si="55"/>
        <v>2567.92</v>
      </c>
      <c r="K36" s="153">
        <f t="shared" si="48"/>
        <v>0.04572849109</v>
      </c>
      <c r="L36" s="153">
        <f t="shared" si="49"/>
        <v>0.03536207468</v>
      </c>
      <c r="M36" s="154" t="str">
        <f>IFERROR(__xludf.DUMMYFUNCTION(" SUBSTITUTE(ImportHTML(CONCATENATE(""http://iss.moex.com/iss/engines/stock/markets/shares/boards/TQBR/securities.html?securities="", C36,""&amp;marketdata.columns=LAST&amp;iss.meta=off&amp;iss.only=marketdata""),""table"",1), ""."", "","")"),"730,6")</f>
        <v>730,6</v>
      </c>
      <c r="N36" s="150">
        <f t="shared" si="50"/>
        <v>51872.6</v>
      </c>
      <c r="O36" s="155">
        <f t="shared" si="51"/>
        <v>-0.03043873603</v>
      </c>
      <c r="P36" s="156">
        <f t="shared" si="52"/>
        <v>-0.02353842934</v>
      </c>
      <c r="Q36" s="95">
        <f>SUMPRODUCT(Q30:Q35, R30:R35)</f>
        <v>471.5141125</v>
      </c>
    </row>
    <row r="37">
      <c r="Q37" s="96">
        <f>today() - round(Q36,0)</f>
        <v>44141</v>
      </c>
    </row>
    <row r="38">
      <c r="B38" s="118" t="s">
        <v>3</v>
      </c>
      <c r="C38" s="119" t="s">
        <v>4</v>
      </c>
      <c r="D38" s="119" t="s">
        <v>7</v>
      </c>
      <c r="E38" s="119" t="s">
        <v>8</v>
      </c>
      <c r="F38" s="119" t="s">
        <v>9</v>
      </c>
      <c r="G38" s="119" t="s">
        <v>10</v>
      </c>
      <c r="H38" s="119" t="s">
        <v>11</v>
      </c>
      <c r="I38" s="119" t="s">
        <v>13</v>
      </c>
      <c r="J38" s="119" t="s">
        <v>14</v>
      </c>
      <c r="K38" s="119" t="s">
        <v>15</v>
      </c>
      <c r="L38" s="119" t="s">
        <v>16</v>
      </c>
      <c r="M38" s="119" t="s">
        <v>17</v>
      </c>
      <c r="N38" s="119" t="s">
        <v>18</v>
      </c>
      <c r="O38" s="119" t="s">
        <v>19</v>
      </c>
      <c r="P38" s="120" t="s">
        <v>20</v>
      </c>
      <c r="Q38" s="18"/>
      <c r="R38" s="18"/>
    </row>
    <row r="39">
      <c r="B39" s="194">
        <v>43769.0</v>
      </c>
      <c r="C39" s="195" t="str">
        <f t="shared" ref="C39:C44" si="56">HYPERLINK("https://ru.investing.com/equities/tatneft-p_rts","TATNP")</f>
        <v>TATNP</v>
      </c>
      <c r="D39" s="124">
        <v>662.1</v>
      </c>
      <c r="E39" s="124">
        <v>24.0</v>
      </c>
      <c r="F39" s="125">
        <f t="shared" ref="F39:F43" si="57">D39*E39</f>
        <v>15890.4</v>
      </c>
      <c r="G39" s="157">
        <f>47.67 + 26.82</f>
        <v>74.49</v>
      </c>
      <c r="H39" s="124">
        <f> 584.64 + 24 + 238.56 + 295.2 + 396.48</f>
        <v>1538.88</v>
      </c>
      <c r="I39" s="124">
        <f> 76 + 2 + 31 + 38.35</f>
        <v>147.35</v>
      </c>
      <c r="J39" s="129">
        <f t="shared" ref="J39:J43" si="58">H39-I39-G39</f>
        <v>1317.04</v>
      </c>
      <c r="K39" s="130">
        <f t="shared" ref="K39:K44" si="59">J39/F39</f>
        <v>0.08288274682</v>
      </c>
      <c r="L39" s="130">
        <f t="shared" ref="L39:L44" si="60">J39/F39/(TODAY()-B39)*365</f>
        <v>0.03584384193</v>
      </c>
      <c r="M39" s="131" t="str">
        <f>IFERROR(__xludf.DUMMYFUNCTION(" SUBSTITUTE(ImportHTML(CONCATENATE(""http://iss.moex.com/iss/engines/stock/markets/shares/boards/TQBR/securities.html?securities="", C39,""&amp;marketdata.columns=LAST&amp;iss.meta=off&amp;iss.only=marketdata""),""table"",1), ""."", "","")"),"407,6")</f>
        <v>407,6</v>
      </c>
      <c r="N39" s="157">
        <f t="shared" ref="N39:N44" si="61">M39*E39</f>
        <v>9782.4</v>
      </c>
      <c r="O39" s="132">
        <f t="shared" ref="O39:O44" si="62">(N39+J39-F39)/(F39+G39)</f>
        <v>-0.3000935177</v>
      </c>
      <c r="P39" s="133">
        <f t="shared" ref="P39:P44" si="63">O39/(TODAY()-B39)*365</f>
        <v>-0.1297797796</v>
      </c>
      <c r="Q39" s="57">
        <f t="shared" ref="Q39:Q43" si="64">today() - B39</f>
        <v>844</v>
      </c>
      <c r="R39" s="27">
        <f t="shared" ref="R39:R43" si="65">F39/SUM(F$39:F$43)</f>
        <v>0.2679613026</v>
      </c>
      <c r="S39" s="104"/>
      <c r="T39" s="104"/>
    </row>
    <row r="40">
      <c r="B40" s="158">
        <v>44193.0</v>
      </c>
      <c r="C40" s="65" t="str">
        <f t="shared" si="56"/>
        <v>TATNP</v>
      </c>
      <c r="D40" s="82">
        <v>470.3</v>
      </c>
      <c r="E40" s="66">
        <v>42.0</v>
      </c>
      <c r="F40" s="83">
        <f t="shared" si="57"/>
        <v>19752.6</v>
      </c>
      <c r="G40" s="82">
        <v>59.26</v>
      </c>
      <c r="H40" s="66">
        <f> 516.6 + 693.84</f>
        <v>1210.44</v>
      </c>
      <c r="I40" s="66">
        <f> 67.12</f>
        <v>67.12</v>
      </c>
      <c r="J40" s="37">
        <f t="shared" si="58"/>
        <v>1084.06</v>
      </c>
      <c r="K40" s="38">
        <f t="shared" si="59"/>
        <v>0.05488188897</v>
      </c>
      <c r="L40" s="38">
        <f t="shared" si="60"/>
        <v>0.04769497494</v>
      </c>
      <c r="M40" s="40" t="str">
        <f>IFERROR(__xludf.DUMMYFUNCTION(" SUBSTITUTE(ImportHTML(CONCATENATE(""http://iss.moex.com/iss/engines/stock/markets/shares/boards/TQBR/securities.html?securities="", C40,""&amp;marketdata.columns=LAST&amp;iss.meta=off&amp;iss.only=marketdata""),""table"",1), ""."", "","")"),"407,6")</f>
        <v>407,6</v>
      </c>
      <c r="N40" s="85">
        <f t="shared" si="61"/>
        <v>17119.2</v>
      </c>
      <c r="O40" s="41">
        <f t="shared" si="62"/>
        <v>-0.07820265235</v>
      </c>
      <c r="P40" s="135">
        <f t="shared" si="63"/>
        <v>-0.06796182883</v>
      </c>
      <c r="Q40" s="57">
        <f t="shared" si="64"/>
        <v>420</v>
      </c>
      <c r="R40" s="27">
        <f t="shared" si="65"/>
        <v>0.3330899427</v>
      </c>
      <c r="S40" s="104"/>
      <c r="T40" s="104"/>
    </row>
    <row r="41">
      <c r="B41" s="134">
        <v>44230.0</v>
      </c>
      <c r="C41" s="65" t="str">
        <f t="shared" si="56"/>
        <v>TATNP</v>
      </c>
      <c r="D41" s="31">
        <v>467.2</v>
      </c>
      <c r="E41" s="31">
        <v>17.0</v>
      </c>
      <c r="F41" s="83">
        <f t="shared" si="57"/>
        <v>7942.4</v>
      </c>
      <c r="G41" s="198">
        <v>23.83</v>
      </c>
      <c r="H41" s="66">
        <f> 209.1 + 280.84</f>
        <v>489.94</v>
      </c>
      <c r="I41" s="66">
        <f> 27.17</f>
        <v>27.17</v>
      </c>
      <c r="J41" s="37">
        <f t="shared" si="58"/>
        <v>438.94</v>
      </c>
      <c r="K41" s="38">
        <f t="shared" si="59"/>
        <v>0.05526541096</v>
      </c>
      <c r="L41" s="38">
        <f t="shared" si="60"/>
        <v>0.05266808094</v>
      </c>
      <c r="M41" s="40" t="str">
        <f>IFERROR(__xludf.DUMMYFUNCTION(" SUBSTITUTE(ImportHTML(CONCATENATE(""http://iss.moex.com/iss/engines/stock/markets/shares/boards/TQBR/securities.html?securities="", C41,""&amp;marketdata.columns=LAST&amp;iss.meta=off&amp;iss.only=marketdata""),""table"",1), ""."", "","")"),"407,6")</f>
        <v>407,6</v>
      </c>
      <c r="N41" s="85">
        <f t="shared" si="61"/>
        <v>6929.2</v>
      </c>
      <c r="O41" s="41">
        <f t="shared" si="62"/>
        <v>-0.07208679639</v>
      </c>
      <c r="P41" s="135">
        <f t="shared" si="63"/>
        <v>-0.06869890518</v>
      </c>
      <c r="Q41" s="57">
        <f t="shared" si="64"/>
        <v>383</v>
      </c>
      <c r="R41" s="27">
        <f t="shared" si="65"/>
        <v>0.1339334346</v>
      </c>
      <c r="S41" s="104"/>
      <c r="T41" s="104"/>
    </row>
    <row r="42">
      <c r="B42" s="134">
        <v>44349.0</v>
      </c>
      <c r="C42" s="65" t="str">
        <f t="shared" si="56"/>
        <v>TATNP</v>
      </c>
      <c r="D42" s="31">
        <v>485.1</v>
      </c>
      <c r="E42" s="31">
        <v>19.0</v>
      </c>
      <c r="F42" s="83">
        <f t="shared" si="57"/>
        <v>9216.9</v>
      </c>
      <c r="G42" s="198">
        <v>27.65</v>
      </c>
      <c r="H42" s="66">
        <f> 233.7 + 313.88</f>
        <v>547.58</v>
      </c>
      <c r="I42" s="66">
        <f> 30.36</f>
        <v>30.36</v>
      </c>
      <c r="J42" s="37">
        <f t="shared" si="58"/>
        <v>489.57</v>
      </c>
      <c r="K42" s="38">
        <f t="shared" si="59"/>
        <v>0.05311655763</v>
      </c>
      <c r="L42" s="38">
        <f t="shared" si="60"/>
        <v>0.0734376649</v>
      </c>
      <c r="M42" s="40" t="str">
        <f>IFERROR(__xludf.DUMMYFUNCTION(" SUBSTITUTE(ImportHTML(CONCATENATE(""http://iss.moex.com/iss/engines/stock/markets/shares/boards/TQBR/securities.html?securities="", C42,""&amp;marketdata.columns=LAST&amp;iss.meta=off&amp;iss.only=marketdata""),""table"",1), ""."", "","")"),"407,6")</f>
        <v>407,6</v>
      </c>
      <c r="N42" s="85">
        <f t="shared" si="61"/>
        <v>7744.4</v>
      </c>
      <c r="O42" s="41">
        <f t="shared" si="62"/>
        <v>-0.1063253484</v>
      </c>
      <c r="P42" s="135">
        <f t="shared" si="63"/>
        <v>-0.1470028492</v>
      </c>
      <c r="Q42" s="57">
        <f t="shared" si="64"/>
        <v>264</v>
      </c>
      <c r="R42" s="27">
        <f t="shared" si="65"/>
        <v>0.1554254474</v>
      </c>
      <c r="S42" s="104"/>
      <c r="T42" s="104"/>
    </row>
    <row r="43">
      <c r="B43" s="136">
        <v>44461.0</v>
      </c>
      <c r="C43" s="199" t="str">
        <f t="shared" si="56"/>
        <v>TATNP</v>
      </c>
      <c r="D43" s="138">
        <v>464.2</v>
      </c>
      <c r="E43" s="138">
        <v>14.0</v>
      </c>
      <c r="F43" s="140">
        <f t="shared" si="57"/>
        <v>6498.8</v>
      </c>
      <c r="G43" s="200">
        <v>19.5</v>
      </c>
      <c r="H43" s="139">
        <f> 231.28</f>
        <v>231.28</v>
      </c>
      <c r="I43" s="139">
        <f> 30.05</f>
        <v>30.05</v>
      </c>
      <c r="J43" s="143">
        <f t="shared" si="58"/>
        <v>181.73</v>
      </c>
      <c r="K43" s="144">
        <f t="shared" si="59"/>
        <v>0.02796362405</v>
      </c>
      <c r="L43" s="144">
        <f t="shared" si="60"/>
        <v>0.06714949197</v>
      </c>
      <c r="M43" s="145" t="str">
        <f>IFERROR(__xludf.DUMMYFUNCTION(" SUBSTITUTE(ImportHTML(CONCATENATE(""http://iss.moex.com/iss/engines/stock/markets/shares/boards/TQBR/securities.html?securities="", C43,""&amp;marketdata.columns=LAST&amp;iss.meta=off&amp;iss.only=marketdata""),""table"",1), ""."", "","")"),"407,6")</f>
        <v>407,6</v>
      </c>
      <c r="N43" s="162">
        <f t="shared" si="61"/>
        <v>5706.4</v>
      </c>
      <c r="O43" s="146">
        <f t="shared" si="62"/>
        <v>-0.09368547014</v>
      </c>
      <c r="P43" s="147">
        <f t="shared" si="63"/>
        <v>-0.2249683987</v>
      </c>
      <c r="Q43" s="57">
        <f t="shared" si="64"/>
        <v>152</v>
      </c>
      <c r="R43" s="27">
        <f t="shared" si="65"/>
        <v>0.1095898727</v>
      </c>
      <c r="S43" s="104"/>
      <c r="T43" s="104"/>
    </row>
    <row r="44">
      <c r="B44" s="148">
        <f>Q45</f>
        <v>44138</v>
      </c>
      <c r="C44" s="201" t="str">
        <f t="shared" si="56"/>
        <v>TATNP</v>
      </c>
      <c r="D44" s="150">
        <f>F44/E44</f>
        <v>511.2163793</v>
      </c>
      <c r="E44" s="151">
        <f t="shared" ref="E44:J44" si="66">SUM(E39:E43)</f>
        <v>116</v>
      </c>
      <c r="F44" s="150">
        <f t="shared" si="66"/>
        <v>59301.1</v>
      </c>
      <c r="G44" s="150">
        <f t="shared" si="66"/>
        <v>204.73</v>
      </c>
      <c r="H44" s="151">
        <f t="shared" si="66"/>
        <v>4018.12</v>
      </c>
      <c r="I44" s="151">
        <f t="shared" si="66"/>
        <v>302.05</v>
      </c>
      <c r="J44" s="152">
        <f t="shared" si="66"/>
        <v>3511.34</v>
      </c>
      <c r="K44" s="153">
        <f t="shared" si="59"/>
        <v>0.05921205509</v>
      </c>
      <c r="L44" s="153">
        <f t="shared" si="60"/>
        <v>0.0454997897</v>
      </c>
      <c r="M44" s="154" t="str">
        <f>IFERROR(__xludf.DUMMYFUNCTION(" SUBSTITUTE(ImportHTML(CONCATENATE(""http://iss.moex.com/iss/engines/stock/markets/shares/boards/TQBR/securities.html?securities="", C44,""&amp;marketdata.columns=LAST&amp;iss.meta=off&amp;iss.only=marketdata""),""table"",1), ""."", "","")"),"407,6")</f>
        <v>407,6</v>
      </c>
      <c r="N44" s="150">
        <f t="shared" si="61"/>
        <v>47281.6</v>
      </c>
      <c r="O44" s="155">
        <f t="shared" si="62"/>
        <v>-0.1429802761</v>
      </c>
      <c r="P44" s="156">
        <f t="shared" si="63"/>
        <v>-0.1098690542</v>
      </c>
      <c r="Q44" s="95">
        <f>SUMPRODUCT(Q39:Q43, R39:R43)</f>
        <v>475.0435995</v>
      </c>
    </row>
    <row r="45">
      <c r="Q45" s="96">
        <f>today() - round(Q44,0)</f>
        <v>44138</v>
      </c>
    </row>
    <row r="46">
      <c r="B46" s="118" t="s">
        <v>3</v>
      </c>
      <c r="C46" s="119" t="s">
        <v>4</v>
      </c>
      <c r="D46" s="119" t="s">
        <v>7</v>
      </c>
      <c r="E46" s="119" t="s">
        <v>8</v>
      </c>
      <c r="F46" s="119" t="s">
        <v>9</v>
      </c>
      <c r="G46" s="119" t="s">
        <v>10</v>
      </c>
      <c r="H46" s="119" t="s">
        <v>11</v>
      </c>
      <c r="I46" s="119" t="s">
        <v>13</v>
      </c>
      <c r="J46" s="119" t="s">
        <v>14</v>
      </c>
      <c r="K46" s="119" t="s">
        <v>15</v>
      </c>
      <c r="L46" s="119" t="s">
        <v>16</v>
      </c>
      <c r="M46" s="119" t="s">
        <v>17</v>
      </c>
      <c r="N46" s="119" t="s">
        <v>18</v>
      </c>
      <c r="O46" s="119" t="s">
        <v>19</v>
      </c>
      <c r="P46" s="120" t="s">
        <v>20</v>
      </c>
      <c r="Q46" s="18"/>
      <c r="R46" s="18"/>
    </row>
    <row r="47">
      <c r="B47" s="194">
        <v>43826.0</v>
      </c>
      <c r="C47" s="195" t="str">
        <f t="shared" ref="C47:C53" si="67">HYPERLINK("https://ru.investing.com/equities/mts_rts","MTSS")</f>
        <v>MTSS</v>
      </c>
      <c r="D47" s="124">
        <v>319.85</v>
      </c>
      <c r="E47" s="124">
        <v>30.0</v>
      </c>
      <c r="F47" s="125">
        <f t="shared" ref="F47:F52" si="68">D47*E47</f>
        <v>9595.5</v>
      </c>
      <c r="G47" s="157">
        <f>39.73 + F47*0.003</f>
        <v>68.5165</v>
      </c>
      <c r="H47" s="197">
        <f> 397.5 + 617.1 + 267.9 + 795.3 + 316.5</f>
        <v>2394.3</v>
      </c>
      <c r="I47" s="124">
        <f> 49 + 80 + 33 + 96.8 + 39</f>
        <v>297.8</v>
      </c>
      <c r="J47" s="129">
        <f t="shared" ref="J47:J52" si="69">H47-I47-G47</f>
        <v>2027.9835</v>
      </c>
      <c r="K47" s="130">
        <f t="shared" ref="K47:K53" si="70">J47/F47</f>
        <v>0.2113473503</v>
      </c>
      <c r="L47" s="130">
        <f t="shared" ref="L47:L53" si="71">J47/F47/(TODAY()-B47)*365</f>
        <v>0.09802005447</v>
      </c>
      <c r="M47" s="131" t="str">
        <f>IFERROR(__xludf.DUMMYFUNCTION(" SUBSTITUTE(ImportHTML(CONCATENATE(""http://iss.moex.com/iss/engines/stock/markets/shares/boards/TQBR/securities.html?securities="", C47,""&amp;marketdata.columns=LAST&amp;iss.meta=off&amp;iss.only=marketdata""),""table"",1), ""."", "","")"),"261")</f>
        <v>261</v>
      </c>
      <c r="N47" s="157">
        <f t="shared" ref="N47:N53" si="72">M47*E47</f>
        <v>7830</v>
      </c>
      <c r="O47" s="132">
        <f t="shared" ref="O47:O53" si="73">(N47+J47-F47)/(F47+G47)</f>
        <v>0.02716091182</v>
      </c>
      <c r="P47" s="133">
        <f t="shared" ref="P47:P53" si="74">O47/(TODAY()-B47)*365</f>
        <v>0.01259686508</v>
      </c>
      <c r="Q47" s="57">
        <f t="shared" ref="Q47:Q52" si="75">today() - B47</f>
        <v>787</v>
      </c>
      <c r="R47" s="27">
        <f t="shared" ref="R47:R52" si="76">F47/SUM(F$47:F$52)</f>
        <v>0.1721057871</v>
      </c>
      <c r="S47" s="104"/>
      <c r="T47" s="104"/>
    </row>
    <row r="48">
      <c r="B48" s="158">
        <v>44055.0</v>
      </c>
      <c r="C48" s="65" t="str">
        <f t="shared" si="67"/>
        <v>MTSS</v>
      </c>
      <c r="D48" s="66">
        <v>331.5</v>
      </c>
      <c r="E48" s="66">
        <v>20.0</v>
      </c>
      <c r="F48" s="83">
        <f t="shared" si="68"/>
        <v>6630</v>
      </c>
      <c r="G48" s="85">
        <f>19.89</f>
        <v>19.89</v>
      </c>
      <c r="H48" s="39">
        <f> 178.6 + 530.2 + 211</f>
        <v>919.8</v>
      </c>
      <c r="I48" s="66">
        <f> 22 + 64.53 + 26</f>
        <v>112.53</v>
      </c>
      <c r="J48" s="37">
        <f t="shared" si="69"/>
        <v>787.38</v>
      </c>
      <c r="K48" s="38">
        <f t="shared" si="70"/>
        <v>0.118760181</v>
      </c>
      <c r="L48" s="38">
        <f t="shared" si="71"/>
        <v>0.07768363094</v>
      </c>
      <c r="M48" s="40" t="str">
        <f>IFERROR(__xludf.DUMMYFUNCTION(" SUBSTITUTE(ImportHTML(CONCATENATE(""http://iss.moex.com/iss/engines/stock/markets/shares/boards/TQBR/securities.html?securities="", C48,""&amp;marketdata.columns=LAST&amp;iss.meta=off&amp;iss.only=marketdata""),""table"",1), ""."", "","")"),"261")</f>
        <v>261</v>
      </c>
      <c r="N48" s="85">
        <f t="shared" si="72"/>
        <v>5220</v>
      </c>
      <c r="O48" s="41">
        <f t="shared" si="73"/>
        <v>-0.09362861641</v>
      </c>
      <c r="P48" s="135">
        <f t="shared" si="74"/>
        <v>-0.06124452507</v>
      </c>
      <c r="Q48" s="57">
        <f t="shared" si="75"/>
        <v>558</v>
      </c>
      <c r="R48" s="27">
        <f t="shared" si="76"/>
        <v>0.1189163012</v>
      </c>
      <c r="S48" s="104"/>
      <c r="T48" s="104"/>
    </row>
    <row r="49">
      <c r="B49" s="158">
        <v>44193.0</v>
      </c>
      <c r="C49" s="65" t="str">
        <f t="shared" si="67"/>
        <v>MTSS</v>
      </c>
      <c r="D49" s="82">
        <v>329.0</v>
      </c>
      <c r="E49" s="31">
        <v>40.0</v>
      </c>
      <c r="F49" s="83">
        <f t="shared" si="68"/>
        <v>13160</v>
      </c>
      <c r="G49" s="82">
        <v>39.48</v>
      </c>
      <c r="H49" s="39">
        <f> 1060.4 + 422</f>
        <v>1482.4</v>
      </c>
      <c r="I49" s="66">
        <f> 129.07 + 52</f>
        <v>181.07</v>
      </c>
      <c r="J49" s="37">
        <f t="shared" si="69"/>
        <v>1261.85</v>
      </c>
      <c r="K49" s="38">
        <f t="shared" si="70"/>
        <v>0.09588525836</v>
      </c>
      <c r="L49" s="38">
        <f t="shared" si="71"/>
        <v>0.08332885548</v>
      </c>
      <c r="M49" s="40" t="str">
        <f>IFERROR(__xludf.DUMMYFUNCTION(" SUBSTITUTE(ImportHTML(CONCATENATE(""http://iss.moex.com/iss/engines/stock/markets/shares/boards/TQBR/securities.html?securities="", C49,""&amp;marketdata.columns=LAST&amp;iss.meta=off&amp;iss.only=marketdata""),""table"",1), ""."", "","")"),"261")</f>
        <v>261</v>
      </c>
      <c r="N49" s="85">
        <f t="shared" si="72"/>
        <v>10440</v>
      </c>
      <c r="O49" s="41">
        <f t="shared" si="73"/>
        <v>-0.1104702609</v>
      </c>
      <c r="P49" s="135">
        <f t="shared" si="74"/>
        <v>-0.09600391725</v>
      </c>
      <c r="Q49" s="57">
        <f t="shared" si="75"/>
        <v>420</v>
      </c>
      <c r="R49" s="27">
        <f t="shared" si="76"/>
        <v>0.2360389931</v>
      </c>
      <c r="S49" s="104"/>
      <c r="T49" s="104"/>
    </row>
    <row r="50">
      <c r="B50" s="134">
        <v>44230.0</v>
      </c>
      <c r="C50" s="65" t="str">
        <f t="shared" si="67"/>
        <v>MTSS</v>
      </c>
      <c r="D50" s="31">
        <v>332.15</v>
      </c>
      <c r="E50" s="31">
        <v>30.0</v>
      </c>
      <c r="F50" s="83">
        <f t="shared" si="68"/>
        <v>9964.5</v>
      </c>
      <c r="G50" s="198">
        <v>29.89</v>
      </c>
      <c r="H50" s="39">
        <f t="shared" ref="H50:H51" si="77"> 795.3 + 316.5</f>
        <v>1111.8</v>
      </c>
      <c r="I50" s="66">
        <f t="shared" ref="I50:I51" si="78"> 96.8 + 39</f>
        <v>135.8</v>
      </c>
      <c r="J50" s="37">
        <f t="shared" si="69"/>
        <v>946.11</v>
      </c>
      <c r="K50" s="38">
        <f t="shared" si="70"/>
        <v>0.09494806563</v>
      </c>
      <c r="L50" s="38">
        <f t="shared" si="71"/>
        <v>0.09048575445</v>
      </c>
      <c r="M50" s="40" t="str">
        <f>IFERROR(__xludf.DUMMYFUNCTION(" SUBSTITUTE(ImportHTML(CONCATENATE(""http://iss.moex.com/iss/engines/stock/markets/shares/boards/TQBR/securities.html?securities="", C50,""&amp;marketdata.columns=LAST&amp;iss.meta=off&amp;iss.only=marketdata""),""table"",1), ""."", "","")"),"261")</f>
        <v>261</v>
      </c>
      <c r="N50" s="85">
        <f t="shared" si="72"/>
        <v>7830</v>
      </c>
      <c r="O50" s="41">
        <f t="shared" si="73"/>
        <v>-0.1189057061</v>
      </c>
      <c r="P50" s="135">
        <f t="shared" si="74"/>
        <v>-0.1133174484</v>
      </c>
      <c r="Q50" s="57">
        <f t="shared" si="75"/>
        <v>383</v>
      </c>
      <c r="R50" s="27">
        <f t="shared" si="76"/>
        <v>0.1787242057</v>
      </c>
      <c r="S50" s="104"/>
      <c r="T50" s="104"/>
    </row>
    <row r="51">
      <c r="B51" s="134">
        <v>44349.0</v>
      </c>
      <c r="C51" s="65" t="str">
        <f t="shared" si="67"/>
        <v>MTSS</v>
      </c>
      <c r="D51" s="31">
        <v>338.35</v>
      </c>
      <c r="E51" s="31">
        <v>30.0</v>
      </c>
      <c r="F51" s="83">
        <f t="shared" si="68"/>
        <v>10150.5</v>
      </c>
      <c r="G51" s="198">
        <v>30.45</v>
      </c>
      <c r="H51" s="39">
        <f t="shared" si="77"/>
        <v>1111.8</v>
      </c>
      <c r="I51" s="66">
        <f t="shared" si="78"/>
        <v>135.8</v>
      </c>
      <c r="J51" s="37">
        <f t="shared" si="69"/>
        <v>945.55</v>
      </c>
      <c r="K51" s="38">
        <f t="shared" si="70"/>
        <v>0.09315304665</v>
      </c>
      <c r="L51" s="38">
        <f t="shared" si="71"/>
        <v>0.128791144</v>
      </c>
      <c r="M51" s="40" t="str">
        <f>IFERROR(__xludf.DUMMYFUNCTION(" SUBSTITUTE(ImportHTML(CONCATENATE(""http://iss.moex.com/iss/engines/stock/markets/shares/boards/TQBR/securities.html?securities="", C51,""&amp;marketdata.columns=LAST&amp;iss.meta=off&amp;iss.only=marketdata""),""table"",1), ""."", "","")"),"261")</f>
        <v>261</v>
      </c>
      <c r="N51" s="85">
        <f t="shared" si="72"/>
        <v>7830</v>
      </c>
      <c r="O51" s="41">
        <f t="shared" si="73"/>
        <v>-0.1350512477</v>
      </c>
      <c r="P51" s="135">
        <f t="shared" si="74"/>
        <v>-0.1867185811</v>
      </c>
      <c r="Q51" s="57">
        <f t="shared" si="75"/>
        <v>264</v>
      </c>
      <c r="R51" s="27">
        <f t="shared" si="76"/>
        <v>0.1820603191</v>
      </c>
      <c r="S51" s="104"/>
      <c r="T51" s="104"/>
    </row>
    <row r="52">
      <c r="B52" s="136">
        <v>44503.0</v>
      </c>
      <c r="C52" s="199" t="str">
        <f t="shared" si="67"/>
        <v>MTSS</v>
      </c>
      <c r="D52" s="138">
        <v>312.65</v>
      </c>
      <c r="E52" s="138">
        <v>20.0</v>
      </c>
      <c r="F52" s="140">
        <f t="shared" si="68"/>
        <v>6253</v>
      </c>
      <c r="G52" s="200">
        <v>18.76</v>
      </c>
      <c r="H52" s="142"/>
      <c r="I52" s="139"/>
      <c r="J52" s="143">
        <f t="shared" si="69"/>
        <v>-18.76</v>
      </c>
      <c r="K52" s="144">
        <f t="shared" si="70"/>
        <v>-0.003000159923</v>
      </c>
      <c r="L52" s="144">
        <f t="shared" si="71"/>
        <v>-0.009955076109</v>
      </c>
      <c r="M52" s="145" t="str">
        <f>IFERROR(__xludf.DUMMYFUNCTION(" SUBSTITUTE(ImportHTML(CONCATENATE(""http://iss.moex.com/iss/engines/stock/markets/shares/boards/TQBR/securities.html?securities="", C52,""&amp;marketdata.columns=LAST&amp;iss.meta=off&amp;iss.only=marketdata""),""table"",1), ""."", "","")"),"261")</f>
        <v>261</v>
      </c>
      <c r="N52" s="162">
        <f t="shared" si="72"/>
        <v>5220</v>
      </c>
      <c r="O52" s="146">
        <f t="shared" si="73"/>
        <v>-0.1676977435</v>
      </c>
      <c r="P52" s="147">
        <f t="shared" si="74"/>
        <v>-0.5564516036</v>
      </c>
      <c r="Q52" s="57">
        <f t="shared" si="75"/>
        <v>110</v>
      </c>
      <c r="R52" s="27">
        <f t="shared" si="76"/>
        <v>0.1121543939</v>
      </c>
      <c r="S52" s="104"/>
      <c r="T52" s="104"/>
    </row>
    <row r="53">
      <c r="B53" s="148">
        <f>Q54</f>
        <v>44183</v>
      </c>
      <c r="C53" s="201" t="str">
        <f t="shared" si="67"/>
        <v>MTSS</v>
      </c>
      <c r="D53" s="150">
        <f>F53/E53</f>
        <v>327.9617647</v>
      </c>
      <c r="E53" s="151">
        <f t="shared" ref="E53:J53" si="79">SUM(E47:E52)</f>
        <v>170</v>
      </c>
      <c r="F53" s="150">
        <f t="shared" si="79"/>
        <v>55753.5</v>
      </c>
      <c r="G53" s="150">
        <f t="shared" si="79"/>
        <v>206.9865</v>
      </c>
      <c r="H53" s="151">
        <f t="shared" si="79"/>
        <v>7020.1</v>
      </c>
      <c r="I53" s="151">
        <f t="shared" si="79"/>
        <v>863</v>
      </c>
      <c r="J53" s="152">
        <f t="shared" si="79"/>
        <v>5950.1135</v>
      </c>
      <c r="K53" s="153">
        <f t="shared" si="70"/>
        <v>0.1067217933</v>
      </c>
      <c r="L53" s="153">
        <f t="shared" si="71"/>
        <v>0.09058942915</v>
      </c>
      <c r="M53" s="154" t="str">
        <f>IFERROR(__xludf.DUMMYFUNCTION(" SUBSTITUTE(ImportHTML(CONCATENATE(""http://iss.moex.com/iss/engines/stock/markets/shares/boards/TQBR/securities.html?securities="", C53,""&amp;marketdata.columns=LAST&amp;iss.meta=off&amp;iss.only=marketdata""),""table"",1), ""."", "","")"),"261")</f>
        <v>261</v>
      </c>
      <c r="N53" s="150">
        <f t="shared" si="72"/>
        <v>44370</v>
      </c>
      <c r="O53" s="155">
        <f t="shared" si="73"/>
        <v>-0.09709326776</v>
      </c>
      <c r="P53" s="156">
        <f t="shared" si="74"/>
        <v>-0.08241637845</v>
      </c>
      <c r="Q53" s="95">
        <f>SUMPRODUCT(Q47:Q52, R47:R52)</f>
        <v>429.7912059</v>
      </c>
    </row>
    <row r="54">
      <c r="Q54" s="96">
        <f>today() - round(Q53,0)</f>
        <v>44183</v>
      </c>
    </row>
    <row r="55">
      <c r="B55" s="118" t="s">
        <v>3</v>
      </c>
      <c r="C55" s="119" t="s">
        <v>4</v>
      </c>
      <c r="D55" s="119" t="s">
        <v>7</v>
      </c>
      <c r="E55" s="119" t="s">
        <v>8</v>
      </c>
      <c r="F55" s="119" t="s">
        <v>9</v>
      </c>
      <c r="G55" s="119" t="s">
        <v>10</v>
      </c>
      <c r="H55" s="119" t="s">
        <v>11</v>
      </c>
      <c r="I55" s="119" t="s">
        <v>13</v>
      </c>
      <c r="J55" s="119" t="s">
        <v>14</v>
      </c>
      <c r="K55" s="119" t="s">
        <v>15</v>
      </c>
      <c r="L55" s="119" t="s">
        <v>16</v>
      </c>
      <c r="M55" s="119" t="s">
        <v>17</v>
      </c>
      <c r="N55" s="119" t="s">
        <v>18</v>
      </c>
      <c r="O55" s="119" t="s">
        <v>19</v>
      </c>
      <c r="P55" s="120" t="s">
        <v>20</v>
      </c>
    </row>
    <row r="56">
      <c r="B56" s="194">
        <v>44356.0</v>
      </c>
      <c r="C56" s="203" t="s">
        <v>43</v>
      </c>
      <c r="D56" s="124">
        <v>1695.9</v>
      </c>
      <c r="E56" s="124">
        <v>1.0</v>
      </c>
      <c r="F56" s="125">
        <f t="shared" ref="F56:F63" si="80">D56*E56</f>
        <v>1695.9</v>
      </c>
      <c r="G56" s="126">
        <v>5.09</v>
      </c>
      <c r="H56" s="126">
        <f> 0.45 * 72.6075</f>
        <v>32.673375</v>
      </c>
      <c r="I56" s="124">
        <v>0.0</v>
      </c>
      <c r="J56" s="129">
        <f t="shared" ref="J56:J63" si="81">H56-I56-G56</f>
        <v>27.583375</v>
      </c>
      <c r="K56" s="130">
        <f t="shared" ref="K56:K64" si="82">J56/F56</f>
        <v>0.01626474144</v>
      </c>
      <c r="L56" s="130">
        <f t="shared" ref="L56:L64" si="83">J56/F56/(TODAY()-B56)*365</f>
        <v>0.02309973005</v>
      </c>
      <c r="M56" s="131" t="str">
        <f>IFERROR(__xludf.DUMMYFUNCTION(" SUBSTITUTE(ImportHTML(CONCATENATE(""http://iss.moex.com/iss/engines/stock/markets/shares/boards/TQBR/securities.html?securities="", C56,""&amp;marketdata.columns=LAST&amp;iss.meta=off&amp;iss.only=marketdata""),""table"",1), ""."", "","")"),"1165,8")</f>
        <v>1165,8</v>
      </c>
      <c r="N56" s="157">
        <f t="shared" ref="N56:N64" si="84">M56*E56</f>
        <v>1165.8</v>
      </c>
      <c r="O56" s="132">
        <f t="shared" ref="O56:O64" si="85">(N56+J56-F56)/(F56+G56)</f>
        <v>-0.2954259725</v>
      </c>
      <c r="P56" s="133">
        <f t="shared" ref="P56:P64" si="86">O56/(TODAY()-B56)*365</f>
        <v>-0.419573852</v>
      </c>
      <c r="Q56" s="57">
        <f t="shared" ref="Q56:Q63" si="87">today() - B56</f>
        <v>257</v>
      </c>
      <c r="R56" s="27">
        <f t="shared" ref="R56:R63" si="88">F56/SUM(F$56:F$63)</f>
        <v>0.02749192701</v>
      </c>
      <c r="S56" s="104"/>
    </row>
    <row r="57">
      <c r="B57" s="158">
        <v>44363.0</v>
      </c>
      <c r="C57" s="81" t="s">
        <v>43</v>
      </c>
      <c r="D57" s="66">
        <v>1675.8</v>
      </c>
      <c r="E57" s="66">
        <v>2.0</v>
      </c>
      <c r="F57" s="83">
        <f t="shared" si="80"/>
        <v>3351.6</v>
      </c>
      <c r="G57" s="82">
        <v>10.05</v>
      </c>
      <c r="H57" s="82">
        <f t="shared" ref="H57:H58" si="89"> 0.9 * 72.6075</f>
        <v>65.34675</v>
      </c>
      <c r="I57" s="66">
        <v>0.0</v>
      </c>
      <c r="J57" s="37">
        <f t="shared" si="81"/>
        <v>55.29675</v>
      </c>
      <c r="K57" s="38">
        <f t="shared" si="82"/>
        <v>0.0164986126</v>
      </c>
      <c r="L57" s="38">
        <f t="shared" si="83"/>
        <v>0.0240879744</v>
      </c>
      <c r="M57" s="40" t="str">
        <f>IFERROR(__xludf.DUMMYFUNCTION(" SUBSTITUTE(ImportHTML(CONCATENATE(""http://iss.moex.com/iss/engines/stock/markets/shares/boards/TQBR/securities.html?securities="", C57,""&amp;marketdata.columns=LAST&amp;iss.meta=off&amp;iss.only=marketdata""),""table"",1), ""."", "","")"),"1165,8")</f>
        <v>1165,8</v>
      </c>
      <c r="N57" s="85">
        <f t="shared" si="84"/>
        <v>2331.6</v>
      </c>
      <c r="O57" s="41">
        <f t="shared" si="85"/>
        <v>-0.2869731382</v>
      </c>
      <c r="P57" s="135">
        <f t="shared" si="86"/>
        <v>-0.4189807818</v>
      </c>
      <c r="Q57" s="57">
        <f t="shared" si="87"/>
        <v>250</v>
      </c>
      <c r="R57" s="27">
        <f t="shared" si="88"/>
        <v>0.05433217912</v>
      </c>
      <c r="S57" s="104"/>
    </row>
    <row r="58">
      <c r="B58" s="158">
        <v>44370.0</v>
      </c>
      <c r="C58" s="81" t="s">
        <v>43</v>
      </c>
      <c r="D58" s="66">
        <v>1632.9</v>
      </c>
      <c r="E58" s="66">
        <v>2.0</v>
      </c>
      <c r="F58" s="83">
        <f t="shared" si="80"/>
        <v>3265.8</v>
      </c>
      <c r="G58" s="82">
        <v>9.8</v>
      </c>
      <c r="H58" s="82">
        <f t="shared" si="89"/>
        <v>65.34675</v>
      </c>
      <c r="I58" s="66">
        <v>0.0</v>
      </c>
      <c r="J58" s="37">
        <f t="shared" si="81"/>
        <v>55.54675</v>
      </c>
      <c r="K58" s="38">
        <f t="shared" si="82"/>
        <v>0.01700861963</v>
      </c>
      <c r="L58" s="38">
        <f t="shared" si="83"/>
        <v>0.02554792661</v>
      </c>
      <c r="M58" s="40" t="str">
        <f>IFERROR(__xludf.DUMMYFUNCTION(" SUBSTITUTE(ImportHTML(CONCATENATE(""http://iss.moex.com/iss/engines/stock/markets/shares/boards/TQBR/securities.html?securities="", C58,""&amp;marketdata.columns=LAST&amp;iss.meta=off&amp;iss.only=marketdata""),""table"",1), ""."", "","")"),"1165,8")</f>
        <v>1165,8</v>
      </c>
      <c r="N58" s="85">
        <f t="shared" si="84"/>
        <v>2331.6</v>
      </c>
      <c r="O58" s="41">
        <f t="shared" si="85"/>
        <v>-0.2682419251</v>
      </c>
      <c r="P58" s="135">
        <f t="shared" si="86"/>
        <v>-0.4029148258</v>
      </c>
      <c r="Q58" s="57">
        <f t="shared" si="87"/>
        <v>243</v>
      </c>
      <c r="R58" s="27">
        <f t="shared" si="88"/>
        <v>0.0529412909</v>
      </c>
      <c r="S58" s="104"/>
    </row>
    <row r="59">
      <c r="B59" s="158">
        <v>44377.0</v>
      </c>
      <c r="C59" s="81" t="s">
        <v>43</v>
      </c>
      <c r="D59" s="66">
        <v>1562.1</v>
      </c>
      <c r="E59" s="66">
        <v>3.0</v>
      </c>
      <c r="F59" s="83">
        <f t="shared" si="80"/>
        <v>4686.3</v>
      </c>
      <c r="G59" s="82">
        <v>14.06</v>
      </c>
      <c r="H59" s="82">
        <f> 1.35 * 72.6075</f>
        <v>98.020125</v>
      </c>
      <c r="I59" s="66">
        <v>0.0</v>
      </c>
      <c r="J59" s="37">
        <f t="shared" si="81"/>
        <v>83.960125</v>
      </c>
      <c r="K59" s="38">
        <f t="shared" si="82"/>
        <v>0.01791607985</v>
      </c>
      <c r="L59" s="38">
        <f t="shared" si="83"/>
        <v>0.02770919129</v>
      </c>
      <c r="M59" s="40" t="str">
        <f>IFERROR(__xludf.DUMMYFUNCTION(" SUBSTITUTE(ImportHTML(CONCATENATE(""http://iss.moex.com/iss/engines/stock/markets/shares/boards/TQBR/securities.html?securities="", C59,""&amp;marketdata.columns=LAST&amp;iss.meta=off&amp;iss.only=marketdata""),""table"",1), ""."", "","")"),"1165,8")</f>
        <v>1165,8</v>
      </c>
      <c r="N59" s="85">
        <f t="shared" si="84"/>
        <v>3497.4</v>
      </c>
      <c r="O59" s="41">
        <f t="shared" si="85"/>
        <v>-0.2350755846</v>
      </c>
      <c r="P59" s="135">
        <f t="shared" si="86"/>
        <v>-0.3635702898</v>
      </c>
      <c r="Q59" s="57">
        <f t="shared" si="87"/>
        <v>236</v>
      </c>
      <c r="R59" s="27">
        <f t="shared" si="88"/>
        <v>0.07596875851</v>
      </c>
      <c r="S59" s="104"/>
    </row>
    <row r="60">
      <c r="B60" s="158">
        <v>44384.0</v>
      </c>
      <c r="C60" s="81" t="s">
        <v>43</v>
      </c>
      <c r="D60" s="66">
        <v>1627.0</v>
      </c>
      <c r="E60" s="66">
        <v>6.0</v>
      </c>
      <c r="F60" s="83">
        <f t="shared" si="80"/>
        <v>9762</v>
      </c>
      <c r="G60" s="82">
        <v>29.29</v>
      </c>
      <c r="H60" s="82">
        <f> 2.7 * 72.6075</f>
        <v>196.04025</v>
      </c>
      <c r="I60" s="66">
        <v>0.0</v>
      </c>
      <c r="J60" s="37">
        <f t="shared" si="81"/>
        <v>166.75025</v>
      </c>
      <c r="K60" s="38">
        <f t="shared" si="82"/>
        <v>0.01708156628</v>
      </c>
      <c r="L60" s="38">
        <f t="shared" si="83"/>
        <v>0.02722607725</v>
      </c>
      <c r="M60" s="40" t="str">
        <f>IFERROR(__xludf.DUMMYFUNCTION(" SUBSTITUTE(ImportHTML(CONCATENATE(""http://iss.moex.com/iss/engines/stock/markets/shares/boards/TQBR/securities.html?securities="", C60,""&amp;marketdata.columns=LAST&amp;iss.meta=off&amp;iss.only=marketdata""),""table"",1), ""."", "","")"),"1165,8")</f>
        <v>1165,8</v>
      </c>
      <c r="N60" s="85">
        <f t="shared" si="84"/>
        <v>6994.8</v>
      </c>
      <c r="O60" s="41">
        <f t="shared" si="85"/>
        <v>-0.2655880635</v>
      </c>
      <c r="P60" s="135">
        <f t="shared" si="86"/>
        <v>-0.4233172191</v>
      </c>
      <c r="Q60" s="57">
        <f t="shared" si="87"/>
        <v>229</v>
      </c>
      <c r="R60" s="27">
        <f t="shared" si="88"/>
        <v>0.1582500097</v>
      </c>
      <c r="S60" s="104"/>
    </row>
    <row r="61">
      <c r="B61" s="158">
        <v>44398.0</v>
      </c>
      <c r="C61" s="81" t="s">
        <v>43</v>
      </c>
      <c r="D61" s="66">
        <v>1593.1</v>
      </c>
      <c r="E61" s="66">
        <v>12.0</v>
      </c>
      <c r="F61" s="83">
        <f t="shared" si="80"/>
        <v>19117.2</v>
      </c>
      <c r="G61" s="82">
        <v>57.35</v>
      </c>
      <c r="H61" s="82">
        <f> 5.4 * 72.6075</f>
        <v>392.0805</v>
      </c>
      <c r="I61" s="66">
        <v>0.0</v>
      </c>
      <c r="J61" s="37">
        <f t="shared" si="81"/>
        <v>334.7305</v>
      </c>
      <c r="K61" s="38">
        <f t="shared" si="82"/>
        <v>0.01750938945</v>
      </c>
      <c r="L61" s="38">
        <f t="shared" si="83"/>
        <v>0.02972524256</v>
      </c>
      <c r="M61" s="40" t="str">
        <f>IFERROR(__xludf.DUMMYFUNCTION(" SUBSTITUTE(ImportHTML(CONCATENATE(""http://iss.moex.com/iss/engines/stock/markets/shares/boards/TQBR/securities.html?securities="", C61,""&amp;marketdata.columns=LAST&amp;iss.meta=off&amp;iss.only=marketdata""),""table"",1), ""."", "","")"),"1165,8")</f>
        <v>1165,8</v>
      </c>
      <c r="N61" s="85">
        <f t="shared" si="84"/>
        <v>13989.6</v>
      </c>
      <c r="O61" s="41">
        <f t="shared" si="85"/>
        <v>-0.2499599469</v>
      </c>
      <c r="P61" s="135">
        <f t="shared" si="86"/>
        <v>-0.4243506075</v>
      </c>
      <c r="Q61" s="57">
        <f t="shared" si="87"/>
        <v>215</v>
      </c>
      <c r="R61" s="27">
        <f t="shared" si="88"/>
        <v>0.3099054585</v>
      </c>
      <c r="S61" s="104"/>
    </row>
    <row r="62">
      <c r="B62" s="158">
        <v>44426.0</v>
      </c>
      <c r="C62" s="81" t="s">
        <v>43</v>
      </c>
      <c r="D62" s="66">
        <v>1527.0</v>
      </c>
      <c r="E62" s="66">
        <v>6.0</v>
      </c>
      <c r="F62" s="83">
        <f t="shared" si="80"/>
        <v>9162</v>
      </c>
      <c r="G62" s="82">
        <v>27.49</v>
      </c>
      <c r="H62" s="82">
        <f> 2.7 * 72.6075</f>
        <v>196.04025</v>
      </c>
      <c r="I62" s="66">
        <v>0.0</v>
      </c>
      <c r="J62" s="37">
        <f t="shared" si="81"/>
        <v>168.55025</v>
      </c>
      <c r="K62" s="38">
        <f t="shared" si="82"/>
        <v>0.01839666558</v>
      </c>
      <c r="L62" s="38">
        <f t="shared" si="83"/>
        <v>0.03590793013</v>
      </c>
      <c r="M62" s="40" t="str">
        <f>IFERROR(__xludf.DUMMYFUNCTION(" SUBSTITUTE(ImportHTML(CONCATENATE(""http://iss.moex.com/iss/engines/stock/markets/shares/boards/TQBR/securities.html?securities="", C62,""&amp;marketdata.columns=LAST&amp;iss.meta=off&amp;iss.only=marketdata""),""table"",1), ""."", "","")"),"1165,8")</f>
        <v>1165,8</v>
      </c>
      <c r="N62" s="85">
        <f t="shared" si="84"/>
        <v>6994.8</v>
      </c>
      <c r="O62" s="41">
        <f t="shared" si="85"/>
        <v>-0.2174930002</v>
      </c>
      <c r="P62" s="135">
        <f t="shared" si="86"/>
        <v>-0.4245184228</v>
      </c>
      <c r="Q62" s="57">
        <f t="shared" si="87"/>
        <v>187</v>
      </c>
      <c r="R62" s="27">
        <f t="shared" si="88"/>
        <v>0.1485235187</v>
      </c>
      <c r="S62" s="104"/>
    </row>
    <row r="63">
      <c r="B63" s="160">
        <v>44461.0</v>
      </c>
      <c r="C63" s="204" t="s">
        <v>43</v>
      </c>
      <c r="D63" s="139">
        <v>1330.8</v>
      </c>
      <c r="E63" s="139">
        <v>8.0</v>
      </c>
      <c r="F63" s="140">
        <f t="shared" si="80"/>
        <v>10646.4</v>
      </c>
      <c r="G63" s="141">
        <v>31.94</v>
      </c>
      <c r="H63" s="139">
        <v>0.0</v>
      </c>
      <c r="I63" s="139">
        <v>0.0</v>
      </c>
      <c r="J63" s="143">
        <f t="shared" si="81"/>
        <v>-31.94</v>
      </c>
      <c r="K63" s="144">
        <f t="shared" si="82"/>
        <v>-0.003000075143</v>
      </c>
      <c r="L63" s="144">
        <f t="shared" si="83"/>
        <v>-0.00720412781</v>
      </c>
      <c r="M63" s="145" t="str">
        <f>IFERROR(__xludf.DUMMYFUNCTION(" SUBSTITUTE(ImportHTML(CONCATENATE(""http://iss.moex.com/iss/engines/stock/markets/shares/boards/TQBR/securities.html?securities="", C63,""&amp;marketdata.columns=LAST&amp;iss.meta=off&amp;iss.only=marketdata""),""table"",1), ""."", "","")"),"1165,8")</f>
        <v>1165,8</v>
      </c>
      <c r="N63" s="162">
        <f t="shared" si="84"/>
        <v>9326.4</v>
      </c>
      <c r="O63" s="146">
        <f t="shared" si="85"/>
        <v>-0.1266058208</v>
      </c>
      <c r="P63" s="147">
        <f t="shared" si="86"/>
        <v>-0.3040205564</v>
      </c>
      <c r="Q63" s="57">
        <f t="shared" si="87"/>
        <v>152</v>
      </c>
      <c r="R63" s="27">
        <f t="shared" si="88"/>
        <v>0.1725868576</v>
      </c>
    </row>
    <row r="64">
      <c r="B64" s="148">
        <f>Q65</f>
        <v>44405</v>
      </c>
      <c r="C64" s="205" t="s">
        <v>43</v>
      </c>
      <c r="D64" s="150">
        <f>F64/E64</f>
        <v>1542.18</v>
      </c>
      <c r="E64" s="151">
        <f t="shared" ref="E64:J64" si="90">SUM(E56:E63)</f>
        <v>40</v>
      </c>
      <c r="F64" s="150">
        <f t="shared" si="90"/>
        <v>61687.2</v>
      </c>
      <c r="G64" s="150">
        <f t="shared" si="90"/>
        <v>185.07</v>
      </c>
      <c r="H64" s="150">
        <f t="shared" si="90"/>
        <v>1045.548</v>
      </c>
      <c r="I64" s="151">
        <f t="shared" si="90"/>
        <v>0</v>
      </c>
      <c r="J64" s="152">
        <f t="shared" si="90"/>
        <v>860.478</v>
      </c>
      <c r="K64" s="153">
        <f t="shared" si="82"/>
        <v>0.01394905264</v>
      </c>
      <c r="L64" s="153">
        <f t="shared" si="83"/>
        <v>0.02447790487</v>
      </c>
      <c r="M64" s="154" t="str">
        <f>IFERROR(__xludf.DUMMYFUNCTION(" SUBSTITUTE(ImportHTML(CONCATENATE(""http://iss.moex.com/iss/engines/stock/markets/shares/boards/TQBR/securities.html?securities="", C64,""&amp;marketdata.columns=LAST&amp;iss.meta=off&amp;iss.only=marketdata""),""table"",1), ""."", "","")"),"1165,8")</f>
        <v>1165,8</v>
      </c>
      <c r="N64" s="150">
        <f t="shared" si="84"/>
        <v>46632</v>
      </c>
      <c r="O64" s="155">
        <f t="shared" si="85"/>
        <v>-0.2294197708</v>
      </c>
      <c r="P64" s="156">
        <f t="shared" si="86"/>
        <v>-0.4025875785</v>
      </c>
      <c r="Q64" s="95">
        <f>SUMPRODUCT(Q56:Q63, R56:R63)</f>
        <v>208.3178569</v>
      </c>
    </row>
    <row r="65">
      <c r="Q65" s="96">
        <f>today() - round(Q64,0)</f>
        <v>44405</v>
      </c>
    </row>
  </sheetData>
  <conditionalFormatting sqref="K3:K6 K9:K12 K15:K18 K21:K27 K30:K36 K39:K44 K47:K53 K56:K64">
    <cfRule type="colorScale" priority="1">
      <colorScale>
        <cfvo type="formula" val="0"/>
        <cfvo type="formula" val="1"/>
        <color rgb="FFFFFFFF"/>
        <color rgb="FF57BB8A"/>
      </colorScale>
    </cfRule>
  </conditionalFormatting>
  <conditionalFormatting sqref="P3:P6 P9:P12 P15:P18 P21:P27 P30:P36 P39:P44 P47:P53 P56:P64">
    <cfRule type="colorScale" priority="2">
      <colorScale>
        <cfvo type="formula" val="0"/>
        <cfvo type="formula" val="0.06"/>
        <cfvo type="formula" val="0.5"/>
        <color rgb="FFE67C73"/>
        <color rgb="FFFFFFFF"/>
        <color rgb="FF57BB8A"/>
      </colorScale>
    </cfRule>
  </conditionalFormatting>
  <conditionalFormatting sqref="O3:O6 O9:O12 O15:O18 O21:O27 O30:O36 O39:O44 O47:O53 O56:O64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L1:L6 L8:L12 L14:L18 L20:L27 L29:L36 L38:L44 L46:L53 L55:L64">
    <cfRule type="colorScale" priority="4">
      <colorScale>
        <cfvo type="formula" val="0"/>
        <cfvo type="formula" val="0.06"/>
        <cfvo type="formula" val="0.1"/>
        <color rgb="FFE67C73"/>
        <color rgb="FFFFFFFF"/>
        <color rgb="FF57BB8A"/>
      </colorScale>
    </cfRule>
  </conditionalFormatting>
  <hyperlinks>
    <hyperlink r:id="rId1" ref="C56"/>
    <hyperlink r:id="rId2" ref="C57"/>
    <hyperlink r:id="rId3" ref="C58"/>
    <hyperlink r:id="rId4" ref="C59"/>
    <hyperlink r:id="rId5" ref="C60"/>
    <hyperlink r:id="rId6" ref="C61"/>
    <hyperlink r:id="rId7" ref="C62"/>
    <hyperlink r:id="rId8" ref="C63"/>
    <hyperlink r:id="rId9" ref="C64"/>
  </hyperlinks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29"/>
    <col customWidth="1" min="2" max="2" width="10.71"/>
    <col customWidth="1" min="3" max="3" width="8.29"/>
    <col customWidth="1" min="4" max="4" width="7.0"/>
    <col customWidth="1" min="5" max="5" width="7.86"/>
    <col customWidth="1" min="6" max="6" width="7.0"/>
    <col customWidth="1" min="7" max="7" width="12.0"/>
    <col customWidth="1" min="8" max="8" width="5.57"/>
    <col customWidth="1" min="9" max="9" width="4.86"/>
    <col customWidth="1" min="10" max="10" width="8.14"/>
    <col customWidth="1" min="11" max="11" width="10.29"/>
    <col customWidth="1" min="12" max="12" width="7.14"/>
    <col customWidth="1" min="13" max="13" width="6.86"/>
    <col customWidth="1" min="14" max="14" width="10.0"/>
    <col customWidth="1" min="15" max="15" width="7.57"/>
    <col customWidth="1" min="16" max="16" width="8.86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8"/>
      <c r="R1" s="18"/>
    </row>
    <row r="2">
      <c r="A2" s="2"/>
      <c r="B2" s="118" t="s">
        <v>3</v>
      </c>
      <c r="C2" s="119" t="s">
        <v>4</v>
      </c>
      <c r="D2" s="119" t="s">
        <v>7</v>
      </c>
      <c r="E2" s="119" t="s">
        <v>8</v>
      </c>
      <c r="F2" s="119" t="s">
        <v>9</v>
      </c>
      <c r="G2" s="119" t="s">
        <v>10</v>
      </c>
      <c r="H2" s="119" t="s">
        <v>11</v>
      </c>
      <c r="I2" s="119" t="s">
        <v>13</v>
      </c>
      <c r="J2" s="119" t="s">
        <v>14</v>
      </c>
      <c r="K2" s="119" t="s">
        <v>15</v>
      </c>
      <c r="L2" s="119" t="s">
        <v>16</v>
      </c>
      <c r="M2" s="119" t="s">
        <v>17</v>
      </c>
      <c r="N2" s="119" t="s">
        <v>18</v>
      </c>
      <c r="O2" s="119" t="s">
        <v>19</v>
      </c>
      <c r="P2" s="120" t="s">
        <v>20</v>
      </c>
      <c r="Q2" s="18"/>
      <c r="R2" s="18"/>
    </row>
    <row r="3">
      <c r="A3" s="63"/>
      <c r="B3" s="194">
        <v>44055.0</v>
      </c>
      <c r="C3" s="203" t="s">
        <v>31</v>
      </c>
      <c r="D3" s="126">
        <f> 30.37</f>
        <v>30.37</v>
      </c>
      <c r="E3" s="124">
        <v>1.0</v>
      </c>
      <c r="F3" s="125">
        <f t="shared" ref="F3:F12" si="1">D3*E3</f>
        <v>30.37</v>
      </c>
      <c r="G3" s="157">
        <f>0.09</f>
        <v>0.09</v>
      </c>
      <c r="H3" s="197">
        <f> 0.47 + 0.47 + 0.47 + 0.47 + 0.47</f>
        <v>2.35</v>
      </c>
      <c r="I3" s="124"/>
      <c r="J3" s="129">
        <f t="shared" ref="J3:J12" si="2">H3-I3-G3</f>
        <v>2.26</v>
      </c>
      <c r="K3" s="130">
        <f t="shared" ref="K3:K13" si="3">J3/F3</f>
        <v>0.07441554165</v>
      </c>
      <c r="L3" s="130">
        <f t="shared" ref="L3:L13" si="4">J3/F3/(TODAY()-B3)*365</f>
        <v>0.0486768328</v>
      </c>
      <c r="M3" s="157">
        <f>IFERROR(__xludf.DUMMYFUNCTION("googlefinance(C3)"),23.87)</f>
        <v>23.87</v>
      </c>
      <c r="N3" s="157">
        <f t="shared" ref="N3:N13" si="5">M3*E3</f>
        <v>23.87</v>
      </c>
      <c r="O3" s="132">
        <f t="shared" ref="O3:O13" si="6">(N3+J3-F3)/(F3+G3)</f>
        <v>-0.1391989494</v>
      </c>
      <c r="P3" s="133">
        <f t="shared" ref="P3:P13" si="7">O3/(TODAY()-B3)*365</f>
        <v>-0.09105307625</v>
      </c>
      <c r="Q3" s="57">
        <f t="shared" ref="Q3:Q12" si="8">today() - B3</f>
        <v>558</v>
      </c>
      <c r="R3" s="27">
        <f t="shared" ref="R3:R12" si="9">F3/SUM(F$3:F$12)</f>
        <v>0.03329788284</v>
      </c>
      <c r="S3" s="104"/>
    </row>
    <row r="4">
      <c r="A4" s="63"/>
      <c r="B4" s="158">
        <v>44078.0</v>
      </c>
      <c r="C4" s="81" t="s">
        <v>31</v>
      </c>
      <c r="D4" s="82">
        <f> 29.62</f>
        <v>29.62</v>
      </c>
      <c r="E4" s="66">
        <v>5.0</v>
      </c>
      <c r="F4" s="83">
        <f t="shared" si="1"/>
        <v>148.1</v>
      </c>
      <c r="G4" s="85">
        <f> 0.45</f>
        <v>0.45</v>
      </c>
      <c r="H4" s="39">
        <f> 2.34 + 2.34 + 2.34 + 2.34 + 2.34</f>
        <v>11.7</v>
      </c>
      <c r="I4" s="66"/>
      <c r="J4" s="37">
        <f t="shared" si="2"/>
        <v>11.25</v>
      </c>
      <c r="K4" s="38">
        <f t="shared" si="3"/>
        <v>0.07596218771</v>
      </c>
      <c r="L4" s="38">
        <f t="shared" si="4"/>
        <v>0.05182467012</v>
      </c>
      <c r="M4" s="85">
        <f>IFERROR(__xludf.DUMMYFUNCTION("googlefinance(C4)"),23.87)</f>
        <v>23.87</v>
      </c>
      <c r="N4" s="85">
        <f t="shared" si="5"/>
        <v>119.35</v>
      </c>
      <c r="O4" s="41">
        <f t="shared" si="6"/>
        <v>-0.1178054527</v>
      </c>
      <c r="P4" s="135">
        <f t="shared" si="7"/>
        <v>-0.08037194437</v>
      </c>
      <c r="Q4" s="57">
        <f t="shared" si="8"/>
        <v>535</v>
      </c>
      <c r="R4" s="27">
        <f t="shared" si="9"/>
        <v>0.1623778877</v>
      </c>
      <c r="S4" s="104"/>
    </row>
    <row r="5">
      <c r="A5" s="63"/>
      <c r="B5" s="158">
        <v>44193.0</v>
      </c>
      <c r="C5" s="81" t="s">
        <v>31</v>
      </c>
      <c r="D5" s="82">
        <f> 29.13</f>
        <v>29.13</v>
      </c>
      <c r="E5" s="66">
        <v>8.0</v>
      </c>
      <c r="F5" s="83">
        <f t="shared" si="1"/>
        <v>233.04</v>
      </c>
      <c r="G5" s="82">
        <f> 0.68</f>
        <v>0.68</v>
      </c>
      <c r="H5" s="39">
        <f> 3.74 + 3.74 + 3.74 + 3.74</f>
        <v>14.96</v>
      </c>
      <c r="I5" s="66"/>
      <c r="J5" s="37">
        <f t="shared" si="2"/>
        <v>14.28</v>
      </c>
      <c r="K5" s="38">
        <f t="shared" si="3"/>
        <v>0.06127703399</v>
      </c>
      <c r="L5" s="38">
        <f t="shared" si="4"/>
        <v>0.05325266049</v>
      </c>
      <c r="M5" s="85">
        <f>IFERROR(__xludf.DUMMYFUNCTION("googlefinance(C5)"),23.87)</f>
        <v>23.87</v>
      </c>
      <c r="N5" s="85">
        <f t="shared" si="5"/>
        <v>190.96</v>
      </c>
      <c r="O5" s="41">
        <f t="shared" si="6"/>
        <v>-0.118945747</v>
      </c>
      <c r="P5" s="135">
        <f t="shared" si="7"/>
        <v>-0.1033695183</v>
      </c>
      <c r="Q5" s="57">
        <f t="shared" si="8"/>
        <v>420</v>
      </c>
      <c r="R5" s="27">
        <f t="shared" si="9"/>
        <v>0.2555067045</v>
      </c>
      <c r="S5" s="104"/>
    </row>
    <row r="6">
      <c r="A6" s="63"/>
      <c r="B6" s="158">
        <v>44216.0</v>
      </c>
      <c r="C6" s="81" t="s">
        <v>31</v>
      </c>
      <c r="D6" s="82">
        <v>29.1</v>
      </c>
      <c r="E6" s="66">
        <v>3.0</v>
      </c>
      <c r="F6" s="83">
        <f t="shared" si="1"/>
        <v>87.3</v>
      </c>
      <c r="G6" s="82">
        <v>0.26</v>
      </c>
      <c r="H6" s="39">
        <f> 1.4 + 1.4 + 1.4</f>
        <v>4.2</v>
      </c>
      <c r="I6" s="39"/>
      <c r="J6" s="37">
        <f t="shared" si="2"/>
        <v>3.94</v>
      </c>
      <c r="K6" s="38">
        <f t="shared" si="3"/>
        <v>0.04513172967</v>
      </c>
      <c r="L6" s="38">
        <f t="shared" si="4"/>
        <v>0.04149390763</v>
      </c>
      <c r="M6" s="85">
        <f>IFERROR(__xludf.DUMMYFUNCTION("googlefinance(C6)"),23.87)</f>
        <v>23.87</v>
      </c>
      <c r="N6" s="85">
        <f t="shared" si="5"/>
        <v>71.61</v>
      </c>
      <c r="O6" s="41">
        <f t="shared" si="6"/>
        <v>-0.1341936958</v>
      </c>
      <c r="P6" s="135">
        <f t="shared" si="7"/>
        <v>-0.1233770754</v>
      </c>
      <c r="Q6" s="57">
        <f t="shared" si="8"/>
        <v>397</v>
      </c>
      <c r="R6" s="27">
        <f t="shared" si="9"/>
        <v>0.09571633756</v>
      </c>
      <c r="S6" s="104"/>
    </row>
    <row r="7">
      <c r="A7" s="63"/>
      <c r="B7" s="158">
        <v>44293.0</v>
      </c>
      <c r="C7" s="81" t="s">
        <v>31</v>
      </c>
      <c r="D7" s="82">
        <v>30.93</v>
      </c>
      <c r="E7" s="66">
        <v>1.0</v>
      </c>
      <c r="F7" s="83">
        <f t="shared" si="1"/>
        <v>30.93</v>
      </c>
      <c r="G7" s="82">
        <v>0.09</v>
      </c>
      <c r="H7" s="39">
        <f> 0.47 + 0.47 + 0.47</f>
        <v>1.41</v>
      </c>
      <c r="I7" s="66"/>
      <c r="J7" s="37">
        <f t="shared" si="2"/>
        <v>1.32</v>
      </c>
      <c r="K7" s="38">
        <f t="shared" si="3"/>
        <v>0.04267701261</v>
      </c>
      <c r="L7" s="38">
        <f t="shared" si="4"/>
        <v>0.04867846751</v>
      </c>
      <c r="M7" s="85">
        <f>IFERROR(__xludf.DUMMYFUNCTION("googlefinance(C7)"),23.87)</f>
        <v>23.87</v>
      </c>
      <c r="N7" s="85">
        <f t="shared" si="5"/>
        <v>23.87</v>
      </c>
      <c r="O7" s="41">
        <f t="shared" si="6"/>
        <v>-0.1850419084</v>
      </c>
      <c r="P7" s="135">
        <f t="shared" si="7"/>
        <v>-0.2110634268</v>
      </c>
      <c r="Q7" s="57">
        <f t="shared" si="8"/>
        <v>320</v>
      </c>
      <c r="R7" s="27">
        <f t="shared" si="9"/>
        <v>0.0339118708</v>
      </c>
      <c r="S7" s="104"/>
    </row>
    <row r="8">
      <c r="A8" s="63"/>
      <c r="B8" s="158">
        <v>44307.0</v>
      </c>
      <c r="C8" s="81" t="s">
        <v>31</v>
      </c>
      <c r="D8" s="82">
        <v>29.91</v>
      </c>
      <c r="E8" s="66">
        <v>2.0</v>
      </c>
      <c r="F8" s="83">
        <f t="shared" si="1"/>
        <v>59.82</v>
      </c>
      <c r="G8" s="82">
        <v>0.18</v>
      </c>
      <c r="H8" s="39">
        <f> 0.94 + 0.94</f>
        <v>1.88</v>
      </c>
      <c r="I8" s="66"/>
      <c r="J8" s="37">
        <f t="shared" si="2"/>
        <v>1.7</v>
      </c>
      <c r="K8" s="38">
        <f t="shared" si="3"/>
        <v>0.0284185891</v>
      </c>
      <c r="L8" s="38">
        <f t="shared" si="4"/>
        <v>0.03389799027</v>
      </c>
      <c r="M8" s="85">
        <f>IFERROR(__xludf.DUMMYFUNCTION("googlefinance(C8)"),23.87)</f>
        <v>23.87</v>
      </c>
      <c r="N8" s="85">
        <f t="shared" si="5"/>
        <v>47.74</v>
      </c>
      <c r="O8" s="41">
        <f t="shared" si="6"/>
        <v>-0.173</v>
      </c>
      <c r="P8" s="135">
        <f t="shared" si="7"/>
        <v>-0.2063562092</v>
      </c>
      <c r="Q8" s="57">
        <f t="shared" si="8"/>
        <v>306</v>
      </c>
      <c r="R8" s="27">
        <f t="shared" si="9"/>
        <v>0.06558707117</v>
      </c>
      <c r="S8" s="104"/>
    </row>
    <row r="9">
      <c r="A9" s="63"/>
      <c r="B9" s="158">
        <v>44321.0</v>
      </c>
      <c r="C9" s="81" t="s">
        <v>31</v>
      </c>
      <c r="D9" s="82">
        <v>31.96</v>
      </c>
      <c r="E9" s="66">
        <v>1.0</v>
      </c>
      <c r="F9" s="83">
        <f t="shared" si="1"/>
        <v>31.96</v>
      </c>
      <c r="G9" s="82">
        <v>0.1</v>
      </c>
      <c r="H9" s="39">
        <f> 0.47 + 0.47</f>
        <v>0.94</v>
      </c>
      <c r="I9" s="66"/>
      <c r="J9" s="37">
        <f t="shared" si="2"/>
        <v>0.84</v>
      </c>
      <c r="K9" s="38">
        <f t="shared" si="3"/>
        <v>0.02628285357</v>
      </c>
      <c r="L9" s="38">
        <f t="shared" si="4"/>
        <v>0.03285356696</v>
      </c>
      <c r="M9" s="85">
        <f>IFERROR(__xludf.DUMMYFUNCTION("googlefinance(C9)"),23.87)</f>
        <v>23.87</v>
      </c>
      <c r="N9" s="85">
        <f t="shared" si="5"/>
        <v>23.87</v>
      </c>
      <c r="O9" s="41">
        <f t="shared" si="6"/>
        <v>-0.2261384903</v>
      </c>
      <c r="P9" s="135">
        <f t="shared" si="7"/>
        <v>-0.2826731129</v>
      </c>
      <c r="Q9" s="57">
        <f t="shared" si="8"/>
        <v>292</v>
      </c>
      <c r="R9" s="27">
        <f t="shared" si="9"/>
        <v>0.03504117009</v>
      </c>
      <c r="S9" s="104"/>
    </row>
    <row r="10">
      <c r="A10" s="63"/>
      <c r="B10" s="158">
        <v>44412.0</v>
      </c>
      <c r="C10" s="81" t="s">
        <v>31</v>
      </c>
      <c r="D10" s="82">
        <v>28.2</v>
      </c>
      <c r="E10" s="66">
        <v>2.0</v>
      </c>
      <c r="F10" s="83">
        <f t="shared" si="1"/>
        <v>56.4</v>
      </c>
      <c r="G10" s="82">
        <v>0.16</v>
      </c>
      <c r="H10" s="39">
        <f> 0.94</f>
        <v>0.94</v>
      </c>
      <c r="I10" s="66"/>
      <c r="J10" s="37">
        <f t="shared" si="2"/>
        <v>0.78</v>
      </c>
      <c r="K10" s="38">
        <f t="shared" si="3"/>
        <v>0.01382978723</v>
      </c>
      <c r="L10" s="38">
        <f t="shared" si="4"/>
        <v>0.02511379274</v>
      </c>
      <c r="M10" s="85">
        <f>IFERROR(__xludf.DUMMYFUNCTION("googlefinance(C10)"),23.87)</f>
        <v>23.87</v>
      </c>
      <c r="N10" s="85">
        <f t="shared" si="5"/>
        <v>47.74</v>
      </c>
      <c r="O10" s="41">
        <f t="shared" si="6"/>
        <v>-0.139321075</v>
      </c>
      <c r="P10" s="135">
        <f t="shared" si="7"/>
        <v>-0.2529959819</v>
      </c>
      <c r="Q10" s="57">
        <f t="shared" si="8"/>
        <v>201</v>
      </c>
      <c r="R10" s="27">
        <f t="shared" si="9"/>
        <v>0.06183735897</v>
      </c>
      <c r="S10" s="104"/>
    </row>
    <row r="11">
      <c r="A11" s="63"/>
      <c r="B11" s="158">
        <v>44440.0</v>
      </c>
      <c r="C11" s="81" t="s">
        <v>31</v>
      </c>
      <c r="D11" s="82">
        <v>27.47</v>
      </c>
      <c r="E11" s="66">
        <v>3.0</v>
      </c>
      <c r="F11" s="83">
        <f t="shared" si="1"/>
        <v>82.41</v>
      </c>
      <c r="G11" s="82">
        <v>0.25</v>
      </c>
      <c r="H11" s="39">
        <f> 1.4</f>
        <v>1.4</v>
      </c>
      <c r="I11" s="66"/>
      <c r="J11" s="37">
        <f t="shared" si="2"/>
        <v>1.15</v>
      </c>
      <c r="K11" s="38">
        <f t="shared" si="3"/>
        <v>0.01395461716</v>
      </c>
      <c r="L11" s="38">
        <f t="shared" si="4"/>
        <v>0.02944182233</v>
      </c>
      <c r="M11" s="85">
        <f>IFERROR(__xludf.DUMMYFUNCTION("googlefinance(C11)"),23.87)</f>
        <v>23.87</v>
      </c>
      <c r="N11" s="85">
        <f t="shared" si="5"/>
        <v>71.61</v>
      </c>
      <c r="O11" s="41">
        <f t="shared" si="6"/>
        <v>-0.1167432857</v>
      </c>
      <c r="P11" s="135">
        <f t="shared" si="7"/>
        <v>-0.2463080884</v>
      </c>
      <c r="Q11" s="57">
        <f t="shared" si="8"/>
        <v>173</v>
      </c>
      <c r="R11" s="27">
        <f t="shared" si="9"/>
        <v>0.09035490697</v>
      </c>
      <c r="S11" s="104"/>
    </row>
    <row r="12">
      <c r="A12" s="63"/>
      <c r="B12" s="160">
        <v>44503.0</v>
      </c>
      <c r="C12" s="204" t="s">
        <v>31</v>
      </c>
      <c r="D12" s="141">
        <v>25.29</v>
      </c>
      <c r="E12" s="139">
        <v>6.0</v>
      </c>
      <c r="F12" s="140">
        <f t="shared" si="1"/>
        <v>151.74</v>
      </c>
      <c r="G12" s="141">
        <v>0.46</v>
      </c>
      <c r="H12" s="142"/>
      <c r="I12" s="139"/>
      <c r="J12" s="143">
        <f t="shared" si="2"/>
        <v>-0.46</v>
      </c>
      <c r="K12" s="144">
        <f t="shared" si="3"/>
        <v>-0.003031501252</v>
      </c>
      <c r="L12" s="144">
        <f t="shared" si="4"/>
        <v>-0.01005907234</v>
      </c>
      <c r="M12" s="162">
        <f>IFERROR(__xludf.DUMMYFUNCTION("googlefinance(C12)"),23.87)</f>
        <v>23.87</v>
      </c>
      <c r="N12" s="162">
        <f t="shared" si="5"/>
        <v>143.22</v>
      </c>
      <c r="O12" s="146">
        <f t="shared" si="6"/>
        <v>-0.05900131406</v>
      </c>
      <c r="P12" s="147">
        <f t="shared" si="7"/>
        <v>-0.1957770876</v>
      </c>
      <c r="Q12" s="57">
        <f t="shared" si="8"/>
        <v>110</v>
      </c>
      <c r="R12" s="27">
        <f t="shared" si="9"/>
        <v>0.1663688094</v>
      </c>
    </row>
    <row r="13">
      <c r="B13" s="148">
        <f>Q14</f>
        <v>44275</v>
      </c>
      <c r="C13" s="205" t="s">
        <v>31</v>
      </c>
      <c r="D13" s="150">
        <f>F13/E13</f>
        <v>28.5021875</v>
      </c>
      <c r="E13" s="151">
        <f t="shared" ref="E13:J13" si="10">SUM(E3:E12)</f>
        <v>32</v>
      </c>
      <c r="F13" s="150">
        <f t="shared" si="10"/>
        <v>912.07</v>
      </c>
      <c r="G13" s="150">
        <f t="shared" si="10"/>
        <v>2.72</v>
      </c>
      <c r="H13" s="151">
        <f t="shared" si="10"/>
        <v>39.78</v>
      </c>
      <c r="I13" s="151">
        <f t="shared" si="10"/>
        <v>0</v>
      </c>
      <c r="J13" s="152">
        <f t="shared" si="10"/>
        <v>37.06</v>
      </c>
      <c r="K13" s="153">
        <f t="shared" si="3"/>
        <v>0.04063284616</v>
      </c>
      <c r="L13" s="153">
        <f t="shared" si="4"/>
        <v>0.04387866524</v>
      </c>
      <c r="M13" s="150">
        <f>IFERROR(__xludf.DUMMYFUNCTION("googlefinance(C13)"),23.87)</f>
        <v>23.87</v>
      </c>
      <c r="N13" s="150">
        <f t="shared" si="5"/>
        <v>763.84</v>
      </c>
      <c r="O13" s="155">
        <f t="shared" si="6"/>
        <v>-0.1215251588</v>
      </c>
      <c r="P13" s="156">
        <f t="shared" si="7"/>
        <v>-0.1312327898</v>
      </c>
      <c r="Q13" s="95">
        <f>SUMPRODUCT(Q3:Q12, R3:R12)</f>
        <v>338.2793316</v>
      </c>
    </row>
    <row r="14">
      <c r="Q14" s="96">
        <f>today() - round(Q13,0)</f>
        <v>44275</v>
      </c>
    </row>
    <row r="15">
      <c r="B15" s="118" t="s">
        <v>3</v>
      </c>
      <c r="C15" s="119" t="s">
        <v>4</v>
      </c>
      <c r="D15" s="119" t="s">
        <v>7</v>
      </c>
      <c r="E15" s="119" t="s">
        <v>8</v>
      </c>
      <c r="F15" s="119" t="s">
        <v>9</v>
      </c>
      <c r="G15" s="119" t="s">
        <v>10</v>
      </c>
      <c r="H15" s="119" t="s">
        <v>11</v>
      </c>
      <c r="I15" s="119" t="s">
        <v>13</v>
      </c>
      <c r="J15" s="119" t="s">
        <v>14</v>
      </c>
      <c r="K15" s="119" t="s">
        <v>15</v>
      </c>
      <c r="L15" s="119" t="s">
        <v>16</v>
      </c>
      <c r="M15" s="119" t="s">
        <v>17</v>
      </c>
      <c r="N15" s="119" t="s">
        <v>18</v>
      </c>
      <c r="O15" s="119" t="s">
        <v>19</v>
      </c>
      <c r="P15" s="120" t="s">
        <v>20</v>
      </c>
      <c r="Q15" s="18"/>
      <c r="R15" s="18"/>
    </row>
    <row r="16">
      <c r="B16" s="194">
        <v>44089.0</v>
      </c>
      <c r="C16" s="203" t="s">
        <v>33</v>
      </c>
      <c r="D16" s="126">
        <v>37.03</v>
      </c>
      <c r="E16" s="124">
        <v>3.0</v>
      </c>
      <c r="F16" s="125">
        <f t="shared" ref="F16:F19" si="11">D16*E16</f>
        <v>111.09</v>
      </c>
      <c r="G16" s="126">
        <v>0.33</v>
      </c>
      <c r="H16" s="124">
        <f> 2.35 + 2.35 + 2.35 + 2.35</f>
        <v>9.4</v>
      </c>
      <c r="I16" s="124"/>
      <c r="J16" s="129">
        <f t="shared" ref="J16:J19" si="12">H16-I16-G16</f>
        <v>9.07</v>
      </c>
      <c r="K16" s="130">
        <f t="shared" ref="K16:K20" si="13">J16/F16</f>
        <v>0.08164551265</v>
      </c>
      <c r="L16" s="130">
        <f t="shared" ref="L16:L20" si="14">J16/F16/(TODAY()-B16)*365</f>
        <v>0.05687139717</v>
      </c>
      <c r="M16" s="157">
        <f>IFERROR(__xludf.DUMMYFUNCTION("googlefinance(C16)"),77.36)</f>
        <v>77.36</v>
      </c>
      <c r="N16" s="157">
        <f t="shared" ref="N16:N20" si="15">M16*E16</f>
        <v>232.08</v>
      </c>
      <c r="O16" s="132">
        <f t="shared" ref="O16:O20" si="16">(N16+J16-F16)/(F16+G16)</f>
        <v>1.16729492</v>
      </c>
      <c r="P16" s="133">
        <f t="shared" ref="P16:P20" si="17">O16/(TODAY()-B16)*365</f>
        <v>0.8130966524</v>
      </c>
      <c r="Q16" s="57">
        <f t="shared" ref="Q16:Q19" si="18">today() - B16</f>
        <v>524</v>
      </c>
      <c r="R16" s="27">
        <f t="shared" ref="R16:R19" si="19">F16/SUM(F$16:F$19)</f>
        <v>0.1939352676</v>
      </c>
      <c r="S16" s="104"/>
    </row>
    <row r="17">
      <c r="B17" s="158">
        <v>44193.0</v>
      </c>
      <c r="C17" s="81" t="s">
        <v>33</v>
      </c>
      <c r="D17" s="82">
        <v>42.3</v>
      </c>
      <c r="E17" s="66">
        <v>7.0</v>
      </c>
      <c r="F17" s="83">
        <f t="shared" si="11"/>
        <v>296.1</v>
      </c>
      <c r="G17" s="82">
        <v>0.91</v>
      </c>
      <c r="H17" s="66">
        <f> 5.48 + 5.48 + 5.48</f>
        <v>16.44</v>
      </c>
      <c r="I17" s="66"/>
      <c r="J17" s="37">
        <f t="shared" si="12"/>
        <v>15.53</v>
      </c>
      <c r="K17" s="38">
        <f t="shared" si="13"/>
        <v>0.05244849713</v>
      </c>
      <c r="L17" s="38">
        <f t="shared" si="14"/>
        <v>0.04558024155</v>
      </c>
      <c r="M17" s="85">
        <f>IFERROR(__xludf.DUMMYFUNCTION("googlefinance(C17)"),77.36)</f>
        <v>77.36</v>
      </c>
      <c r="N17" s="85">
        <f t="shared" si="15"/>
        <v>541.52</v>
      </c>
      <c r="O17" s="41">
        <f t="shared" si="16"/>
        <v>0.8785899465</v>
      </c>
      <c r="P17" s="135">
        <f t="shared" si="17"/>
        <v>0.7635365011</v>
      </c>
      <c r="Q17" s="57">
        <f t="shared" si="18"/>
        <v>420</v>
      </c>
      <c r="R17" s="27">
        <f t="shared" si="19"/>
        <v>0.5169163088</v>
      </c>
      <c r="S17" s="104"/>
    </row>
    <row r="18">
      <c r="B18" s="158">
        <v>44307.0</v>
      </c>
      <c r="C18" s="81" t="s">
        <v>33</v>
      </c>
      <c r="D18" s="82">
        <v>55.25</v>
      </c>
      <c r="E18" s="66">
        <v>1.0</v>
      </c>
      <c r="F18" s="83">
        <f t="shared" si="11"/>
        <v>55.25</v>
      </c>
      <c r="G18" s="82">
        <v>0.17</v>
      </c>
      <c r="H18" s="66">
        <f> 0.78 + 0.78</f>
        <v>1.56</v>
      </c>
      <c r="I18" s="66"/>
      <c r="J18" s="37">
        <f t="shared" si="12"/>
        <v>1.39</v>
      </c>
      <c r="K18" s="38">
        <f t="shared" si="13"/>
        <v>0.02515837104</v>
      </c>
      <c r="L18" s="38">
        <f t="shared" si="14"/>
        <v>0.03000916807</v>
      </c>
      <c r="M18" s="85">
        <f>IFERROR(__xludf.DUMMYFUNCTION("googlefinance(C18)"),77.36)</f>
        <v>77.36</v>
      </c>
      <c r="N18" s="85">
        <f t="shared" si="15"/>
        <v>77.36</v>
      </c>
      <c r="O18" s="41">
        <f t="shared" si="16"/>
        <v>0.4240346445</v>
      </c>
      <c r="P18" s="135">
        <f t="shared" si="17"/>
        <v>0.5057929583</v>
      </c>
      <c r="Q18" s="57">
        <f t="shared" si="18"/>
        <v>306</v>
      </c>
      <c r="R18" s="27">
        <f t="shared" si="19"/>
        <v>0.09645263783</v>
      </c>
      <c r="S18" s="104"/>
    </row>
    <row r="19">
      <c r="B19" s="160">
        <v>44440.0</v>
      </c>
      <c r="C19" s="204" t="s">
        <v>33</v>
      </c>
      <c r="D19" s="141">
        <v>55.19</v>
      </c>
      <c r="E19" s="139">
        <v>2.0</v>
      </c>
      <c r="F19" s="140">
        <f t="shared" si="11"/>
        <v>110.38</v>
      </c>
      <c r="G19" s="141">
        <v>0.33</v>
      </c>
      <c r="H19" s="139"/>
      <c r="I19" s="139"/>
      <c r="J19" s="143">
        <f t="shared" si="12"/>
        <v>-0.33</v>
      </c>
      <c r="K19" s="144">
        <f t="shared" si="13"/>
        <v>-0.002989672042</v>
      </c>
      <c r="L19" s="144">
        <f t="shared" si="14"/>
        <v>-0.006307689568</v>
      </c>
      <c r="M19" s="162">
        <f>IFERROR(__xludf.DUMMYFUNCTION("googlefinance(C19)"),77.36)</f>
        <v>77.36</v>
      </c>
      <c r="N19" s="162">
        <f t="shared" si="15"/>
        <v>154.72</v>
      </c>
      <c r="O19" s="146">
        <f t="shared" si="16"/>
        <v>0.3975250655</v>
      </c>
      <c r="P19" s="147">
        <f t="shared" si="17"/>
        <v>0.8387089532</v>
      </c>
      <c r="Q19" s="57">
        <f t="shared" si="18"/>
        <v>173</v>
      </c>
      <c r="R19" s="27">
        <f t="shared" si="19"/>
        <v>0.1926957858</v>
      </c>
      <c r="S19" s="104"/>
    </row>
    <row r="20">
      <c r="B20" s="148">
        <f>Q21</f>
        <v>44231</v>
      </c>
      <c r="C20" s="205" t="s">
        <v>33</v>
      </c>
      <c r="D20" s="150">
        <f>F20/E20</f>
        <v>44.06307692</v>
      </c>
      <c r="E20" s="151">
        <f t="shared" ref="E20:J20" si="20">SUM(E16:E19)</f>
        <v>13</v>
      </c>
      <c r="F20" s="150">
        <f t="shared" si="20"/>
        <v>572.82</v>
      </c>
      <c r="G20" s="150">
        <f t="shared" si="20"/>
        <v>1.74</v>
      </c>
      <c r="H20" s="151">
        <f t="shared" si="20"/>
        <v>27.4</v>
      </c>
      <c r="I20" s="151">
        <f t="shared" si="20"/>
        <v>0</v>
      </c>
      <c r="J20" s="152">
        <f t="shared" si="20"/>
        <v>25.66</v>
      </c>
      <c r="K20" s="153">
        <f t="shared" si="13"/>
        <v>0.04479592193</v>
      </c>
      <c r="L20" s="153">
        <f t="shared" si="14"/>
        <v>0.04280238614</v>
      </c>
      <c r="M20" s="150">
        <f>IFERROR(__xludf.DUMMYFUNCTION("googlefinance(C20)"),77.36)</f>
        <v>77.36</v>
      </c>
      <c r="N20" s="150">
        <f t="shared" si="15"/>
        <v>1005.68</v>
      </c>
      <c r="O20" s="155">
        <f t="shared" si="16"/>
        <v>0.7980367586</v>
      </c>
      <c r="P20" s="156">
        <f t="shared" si="17"/>
        <v>0.7625220337</v>
      </c>
      <c r="Q20" s="95">
        <f>SUMPRODUCT(Q16:Q19, R16:R19)</f>
        <v>381.577808</v>
      </c>
    </row>
    <row r="21">
      <c r="Q21" s="96">
        <f>today() - round(Q20,0)</f>
        <v>44231</v>
      </c>
    </row>
    <row r="22">
      <c r="B22" s="118" t="s">
        <v>3</v>
      </c>
      <c r="C22" s="119" t="s">
        <v>4</v>
      </c>
      <c r="D22" s="119" t="s">
        <v>7</v>
      </c>
      <c r="E22" s="119" t="s">
        <v>8</v>
      </c>
      <c r="F22" s="119" t="s">
        <v>9</v>
      </c>
      <c r="G22" s="119" t="s">
        <v>10</v>
      </c>
      <c r="H22" s="119" t="s">
        <v>11</v>
      </c>
      <c r="I22" s="119" t="s">
        <v>13</v>
      </c>
      <c r="J22" s="119" t="s">
        <v>14</v>
      </c>
      <c r="K22" s="119" t="s">
        <v>15</v>
      </c>
      <c r="L22" s="119" t="s">
        <v>16</v>
      </c>
      <c r="M22" s="119" t="s">
        <v>17</v>
      </c>
      <c r="N22" s="119" t="s">
        <v>18</v>
      </c>
      <c r="O22" s="119" t="s">
        <v>19</v>
      </c>
      <c r="P22" s="120" t="s">
        <v>20</v>
      </c>
      <c r="Q22" s="18"/>
      <c r="R22" s="18"/>
    </row>
    <row r="23">
      <c r="B23" s="194">
        <v>44193.0</v>
      </c>
      <c r="C23" s="203" t="s">
        <v>35</v>
      </c>
      <c r="D23" s="126">
        <v>104.09</v>
      </c>
      <c r="E23" s="124">
        <v>4.0</v>
      </c>
      <c r="F23" s="125">
        <f t="shared" ref="F23:F26" si="21">D23*E23</f>
        <v>416.36</v>
      </c>
      <c r="G23" s="126">
        <v>1.25</v>
      </c>
      <c r="H23" s="124">
        <f> 4.68 + 4.68 + 4.68</f>
        <v>14.04</v>
      </c>
      <c r="I23" s="124"/>
      <c r="J23" s="129">
        <f t="shared" ref="J23:J26" si="22">H23-I23-G23</f>
        <v>12.79</v>
      </c>
      <c r="K23" s="130">
        <f t="shared" ref="K23:K27" si="23">J23/F23</f>
        <v>0.0307186089</v>
      </c>
      <c r="L23" s="130">
        <f t="shared" ref="L23:L27" si="24">J23/F23/(TODAY()-B23)*365</f>
        <v>0.02669593392</v>
      </c>
      <c r="M23" s="157">
        <f>IFERROR(__xludf.DUMMYFUNCTION("googlefinance(C23)"),144.03)</f>
        <v>144.03</v>
      </c>
      <c r="N23" s="157">
        <f t="shared" ref="N23:N27" si="25">M23*E23</f>
        <v>576.12</v>
      </c>
      <c r="O23" s="132">
        <f t="shared" ref="O23:O27" si="26">(N23+J23-F23)/(F23+G23)</f>
        <v>0.4131845502</v>
      </c>
      <c r="P23" s="133">
        <f t="shared" ref="P23:P27" si="27">O23/(TODAY()-B23)*365</f>
        <v>0.3590770496</v>
      </c>
      <c r="Q23" s="57">
        <f t="shared" ref="Q23:Q26" si="28">today() - B23</f>
        <v>420</v>
      </c>
      <c r="R23" s="27">
        <f t="shared" ref="R23:R26" si="29">F23/SUM(F$23:F$26)</f>
        <v>0.5585051443</v>
      </c>
      <c r="S23" s="104"/>
    </row>
    <row r="24">
      <c r="B24" s="158">
        <v>44293.0</v>
      </c>
      <c r="C24" s="81" t="s">
        <v>35</v>
      </c>
      <c r="D24" s="82">
        <v>105.59</v>
      </c>
      <c r="E24" s="66">
        <v>1.0</v>
      </c>
      <c r="F24" s="83">
        <f t="shared" si="21"/>
        <v>105.59</v>
      </c>
      <c r="G24" s="82">
        <v>0.32</v>
      </c>
      <c r="H24" s="66">
        <f> 1.17 + 1.17</f>
        <v>2.34</v>
      </c>
      <c r="I24" s="66"/>
      <c r="J24" s="37">
        <f t="shared" si="22"/>
        <v>2.02</v>
      </c>
      <c r="K24" s="38">
        <f t="shared" si="23"/>
        <v>0.01913059949</v>
      </c>
      <c r="L24" s="38">
        <f t="shared" si="24"/>
        <v>0.02182084004</v>
      </c>
      <c r="M24" s="85">
        <f>IFERROR(__xludf.DUMMYFUNCTION("googlefinance(C24)"),144.03)</f>
        <v>144.03</v>
      </c>
      <c r="N24" s="85">
        <f t="shared" si="25"/>
        <v>144.03</v>
      </c>
      <c r="O24" s="41">
        <f t="shared" si="26"/>
        <v>0.3820224719</v>
      </c>
      <c r="P24" s="135">
        <f t="shared" si="27"/>
        <v>0.435744382</v>
      </c>
      <c r="Q24" s="57">
        <f t="shared" si="28"/>
        <v>320</v>
      </c>
      <c r="R24" s="27">
        <f t="shared" si="29"/>
        <v>0.1416383855</v>
      </c>
      <c r="S24" s="104"/>
    </row>
    <row r="25">
      <c r="B25" s="158">
        <v>44321.0</v>
      </c>
      <c r="C25" s="81" t="s">
        <v>35</v>
      </c>
      <c r="D25" s="82">
        <v>114.21</v>
      </c>
      <c r="E25" s="66">
        <v>1.0</v>
      </c>
      <c r="F25" s="83">
        <f t="shared" si="21"/>
        <v>114.21</v>
      </c>
      <c r="G25" s="82">
        <v>0.34</v>
      </c>
      <c r="H25" s="66">
        <f> 1.17</f>
        <v>1.17</v>
      </c>
      <c r="I25" s="66"/>
      <c r="J25" s="37">
        <f t="shared" si="22"/>
        <v>0.83</v>
      </c>
      <c r="K25" s="38">
        <f t="shared" si="23"/>
        <v>0.007267314596</v>
      </c>
      <c r="L25" s="38">
        <f t="shared" si="24"/>
        <v>0.009084143245</v>
      </c>
      <c r="M25" s="85">
        <f>IFERROR(__xludf.DUMMYFUNCTION("googlefinance(C25)"),144.03)</f>
        <v>144.03</v>
      </c>
      <c r="N25" s="85">
        <f t="shared" si="25"/>
        <v>144.03</v>
      </c>
      <c r="O25" s="41">
        <f t="shared" si="26"/>
        <v>0.2675687473</v>
      </c>
      <c r="P25" s="135">
        <f t="shared" si="27"/>
        <v>0.3344609341</v>
      </c>
      <c r="Q25" s="57">
        <f t="shared" si="28"/>
        <v>292</v>
      </c>
      <c r="R25" s="27">
        <f t="shared" si="29"/>
        <v>0.1532012502</v>
      </c>
      <c r="S25" s="104"/>
    </row>
    <row r="26">
      <c r="B26" s="160">
        <v>44475.0</v>
      </c>
      <c r="C26" s="204" t="s">
        <v>35</v>
      </c>
      <c r="D26" s="141">
        <v>109.33</v>
      </c>
      <c r="E26" s="139">
        <v>1.0</v>
      </c>
      <c r="F26" s="140">
        <f t="shared" si="21"/>
        <v>109.33</v>
      </c>
      <c r="G26" s="141">
        <v>0.33</v>
      </c>
      <c r="H26" s="139"/>
      <c r="I26" s="139"/>
      <c r="J26" s="143">
        <f t="shared" si="22"/>
        <v>-0.33</v>
      </c>
      <c r="K26" s="144">
        <f t="shared" si="23"/>
        <v>-0.003018384707</v>
      </c>
      <c r="L26" s="144">
        <f t="shared" si="24"/>
        <v>-0.007983408826</v>
      </c>
      <c r="M26" s="162">
        <f>IFERROR(__xludf.DUMMYFUNCTION("googlefinance(C26)"),144.03)</f>
        <v>144.03</v>
      </c>
      <c r="N26" s="162">
        <f t="shared" si="25"/>
        <v>144.03</v>
      </c>
      <c r="O26" s="146">
        <f t="shared" si="26"/>
        <v>0.3134233084</v>
      </c>
      <c r="P26" s="147">
        <f t="shared" si="27"/>
        <v>0.8289819389</v>
      </c>
      <c r="Q26" s="57">
        <f t="shared" si="28"/>
        <v>138</v>
      </c>
      <c r="R26" s="27">
        <f t="shared" si="29"/>
        <v>0.1466552201</v>
      </c>
      <c r="S26" s="104"/>
    </row>
    <row r="27">
      <c r="B27" s="148">
        <f>Q28</f>
        <v>44268</v>
      </c>
      <c r="C27" s="205" t="s">
        <v>35</v>
      </c>
      <c r="D27" s="150">
        <f>F27/E27</f>
        <v>106.4985714</v>
      </c>
      <c r="E27" s="151">
        <f t="shared" ref="E27:J27" si="30">SUM(E23:E26)</f>
        <v>7</v>
      </c>
      <c r="F27" s="150">
        <f t="shared" si="30"/>
        <v>745.49</v>
      </c>
      <c r="G27" s="150">
        <f t="shared" si="30"/>
        <v>2.24</v>
      </c>
      <c r="H27" s="151">
        <f t="shared" si="30"/>
        <v>17.55</v>
      </c>
      <c r="I27" s="151">
        <f t="shared" si="30"/>
        <v>0</v>
      </c>
      <c r="J27" s="152">
        <f t="shared" si="30"/>
        <v>15.31</v>
      </c>
      <c r="K27" s="153">
        <f t="shared" si="23"/>
        <v>0.02053682813</v>
      </c>
      <c r="L27" s="153">
        <f t="shared" si="24"/>
        <v>0.02172736889</v>
      </c>
      <c r="M27" s="150">
        <f>IFERROR(__xludf.DUMMYFUNCTION("googlefinance(C27)"),144.03)</f>
        <v>144.03</v>
      </c>
      <c r="N27" s="150">
        <f t="shared" si="25"/>
        <v>1008.21</v>
      </c>
      <c r="O27" s="155">
        <f t="shared" si="26"/>
        <v>0.3718320784</v>
      </c>
      <c r="P27" s="156">
        <f t="shared" si="27"/>
        <v>0.3933875612</v>
      </c>
      <c r="Q27" s="95">
        <f>SUMPRODUCT(Q23:Q26, R23:R26)</f>
        <v>344.8696294</v>
      </c>
    </row>
    <row r="28">
      <c r="Q28" s="96">
        <f>today() - round(Q27,0)</f>
        <v>44268</v>
      </c>
    </row>
    <row r="29">
      <c r="B29" s="118" t="s">
        <v>3</v>
      </c>
      <c r="C29" s="119" t="s">
        <v>4</v>
      </c>
      <c r="D29" s="119" t="s">
        <v>7</v>
      </c>
      <c r="E29" s="119" t="s">
        <v>8</v>
      </c>
      <c r="F29" s="119" t="s">
        <v>9</v>
      </c>
      <c r="G29" s="119" t="s">
        <v>10</v>
      </c>
      <c r="H29" s="119" t="s">
        <v>11</v>
      </c>
      <c r="I29" s="119" t="s">
        <v>13</v>
      </c>
      <c r="J29" s="119" t="s">
        <v>14</v>
      </c>
      <c r="K29" s="119" t="s">
        <v>15</v>
      </c>
      <c r="L29" s="119" t="s">
        <v>16</v>
      </c>
      <c r="M29" s="119" t="s">
        <v>17</v>
      </c>
      <c r="N29" s="119" t="s">
        <v>18</v>
      </c>
      <c r="O29" s="119" t="s">
        <v>19</v>
      </c>
      <c r="P29" s="120" t="s">
        <v>20</v>
      </c>
      <c r="Q29" s="18"/>
      <c r="R29" s="18"/>
    </row>
    <row r="30">
      <c r="B30" s="194">
        <v>44216.0</v>
      </c>
      <c r="C30" s="203" t="s">
        <v>37</v>
      </c>
      <c r="D30" s="126">
        <v>48.87</v>
      </c>
      <c r="E30" s="124">
        <v>10.0</v>
      </c>
      <c r="F30" s="125">
        <f t="shared" ref="F30:F34" si="31">D30*E30</f>
        <v>488.7</v>
      </c>
      <c r="G30" s="126">
        <v>1.47</v>
      </c>
      <c r="H30" s="124">
        <f> 3.78 + 3.78 + 3.78</f>
        <v>11.34</v>
      </c>
      <c r="I30" s="124"/>
      <c r="J30" s="129">
        <f t="shared" ref="J30:J34" si="32">H30-I30-G30</f>
        <v>9.87</v>
      </c>
      <c r="K30" s="130">
        <f t="shared" ref="K30:K35" si="33">J30/F30</f>
        <v>0.02019643953</v>
      </c>
      <c r="L30" s="130">
        <f t="shared" ref="L30:L35" si="34">J30/F30/(TODAY()-B30)*365</f>
        <v>0.01856851494</v>
      </c>
      <c r="M30" s="157">
        <f>IFERROR(__xludf.DUMMYFUNCTION("googlefinance(C30)"),62.54)</f>
        <v>62.54</v>
      </c>
      <c r="N30" s="157">
        <f t="shared" ref="N30:N35" si="35">M30*E30</f>
        <v>625.4</v>
      </c>
      <c r="O30" s="132">
        <f t="shared" ref="O30:O35" si="36">(N30+J30-F30)/(F30+G30)</f>
        <v>0.2990187078</v>
      </c>
      <c r="P30" s="133">
        <f t="shared" ref="P30:P35" si="37">O30/(TODAY()-B30)*365</f>
        <v>0.2749164442</v>
      </c>
      <c r="Q30" s="57">
        <f t="shared" ref="Q30:Q34" si="38">today() - B30</f>
        <v>397</v>
      </c>
      <c r="R30" s="27">
        <f t="shared" ref="R30:R34" si="39">F30/SUM(F$30:F$34)</f>
        <v>0.6917099546</v>
      </c>
      <c r="S30" s="104"/>
    </row>
    <row r="31">
      <c r="B31" s="158">
        <v>44307.0</v>
      </c>
      <c r="C31" s="81" t="s">
        <v>37</v>
      </c>
      <c r="D31" s="82">
        <v>54.23</v>
      </c>
      <c r="E31" s="66">
        <v>1.0</v>
      </c>
      <c r="F31" s="83">
        <f t="shared" si="31"/>
        <v>54.23</v>
      </c>
      <c r="G31" s="82">
        <v>0.16</v>
      </c>
      <c r="H31" s="66">
        <f t="shared" ref="H31:H32" si="40"> 0.38 + 0.38</f>
        <v>0.76</v>
      </c>
      <c r="I31" s="66"/>
      <c r="J31" s="37">
        <f t="shared" si="32"/>
        <v>0.6</v>
      </c>
      <c r="K31" s="38">
        <f t="shared" si="33"/>
        <v>0.01106398672</v>
      </c>
      <c r="L31" s="38">
        <f t="shared" si="34"/>
        <v>0.01319723907</v>
      </c>
      <c r="M31" s="85">
        <f>IFERROR(__xludf.DUMMYFUNCTION("googlefinance(C31)"),62.54)</f>
        <v>62.54</v>
      </c>
      <c r="N31" s="85">
        <f t="shared" si="35"/>
        <v>62.54</v>
      </c>
      <c r="O31" s="41">
        <f t="shared" si="36"/>
        <v>0.1638168781</v>
      </c>
      <c r="P31" s="135">
        <f t="shared" si="37"/>
        <v>0.1954024853</v>
      </c>
      <c r="Q31" s="57">
        <f t="shared" si="38"/>
        <v>306</v>
      </c>
      <c r="R31" s="27">
        <f t="shared" si="39"/>
        <v>0.07675758305</v>
      </c>
      <c r="S31" s="104"/>
    </row>
    <row r="32">
      <c r="B32" s="158">
        <v>44321.0</v>
      </c>
      <c r="C32" s="81" t="s">
        <v>37</v>
      </c>
      <c r="D32" s="82">
        <v>54.11</v>
      </c>
      <c r="E32" s="66">
        <v>1.0</v>
      </c>
      <c r="F32" s="83">
        <f t="shared" si="31"/>
        <v>54.11</v>
      </c>
      <c r="G32" s="82">
        <v>0.16</v>
      </c>
      <c r="H32" s="66">
        <f t="shared" si="40"/>
        <v>0.76</v>
      </c>
      <c r="I32" s="66"/>
      <c r="J32" s="37">
        <f t="shared" si="32"/>
        <v>0.6</v>
      </c>
      <c r="K32" s="38">
        <f t="shared" si="33"/>
        <v>0.01108852338</v>
      </c>
      <c r="L32" s="38">
        <f t="shared" si="34"/>
        <v>0.01386065422</v>
      </c>
      <c r="M32" s="85">
        <f>IFERROR(__xludf.DUMMYFUNCTION("googlefinance(C32)"),62.54)</f>
        <v>62.54</v>
      </c>
      <c r="N32" s="85">
        <f t="shared" si="35"/>
        <v>62.54</v>
      </c>
      <c r="O32" s="41">
        <f t="shared" si="36"/>
        <v>0.1663902709</v>
      </c>
      <c r="P32" s="135">
        <f t="shared" si="37"/>
        <v>0.2079878386</v>
      </c>
      <c r="Q32" s="57">
        <f t="shared" si="38"/>
        <v>292</v>
      </c>
      <c r="R32" s="27">
        <f t="shared" si="39"/>
        <v>0.07658773407</v>
      </c>
      <c r="S32" s="104"/>
    </row>
    <row r="33">
      <c r="B33" s="158">
        <v>44440.0</v>
      </c>
      <c r="C33" s="81" t="s">
        <v>37</v>
      </c>
      <c r="D33" s="82">
        <v>56.59</v>
      </c>
      <c r="E33" s="66">
        <v>1.0</v>
      </c>
      <c r="F33" s="83">
        <f t="shared" si="31"/>
        <v>56.59</v>
      </c>
      <c r="G33" s="82">
        <v>0.17</v>
      </c>
      <c r="H33" s="66">
        <f> 0.38</f>
        <v>0.38</v>
      </c>
      <c r="I33" s="66"/>
      <c r="J33" s="37">
        <f t="shared" si="32"/>
        <v>0.21</v>
      </c>
      <c r="K33" s="38">
        <f t="shared" si="33"/>
        <v>0.003710902986</v>
      </c>
      <c r="L33" s="38">
        <f t="shared" si="34"/>
        <v>0.007829361792</v>
      </c>
      <c r="M33" s="85">
        <f>IFERROR(__xludf.DUMMYFUNCTION("googlefinance(C33)"),62.54)</f>
        <v>62.54</v>
      </c>
      <c r="N33" s="85">
        <f t="shared" si="35"/>
        <v>62.54</v>
      </c>
      <c r="O33" s="41">
        <f t="shared" si="36"/>
        <v>0.1085271318</v>
      </c>
      <c r="P33" s="135">
        <f t="shared" si="37"/>
        <v>0.2289734283</v>
      </c>
      <c r="Q33" s="57">
        <f t="shared" si="38"/>
        <v>173</v>
      </c>
      <c r="R33" s="27">
        <f t="shared" si="39"/>
        <v>0.08009794624</v>
      </c>
      <c r="S33" s="104"/>
    </row>
    <row r="34">
      <c r="B34" s="160">
        <v>44475.0</v>
      </c>
      <c r="C34" s="204" t="s">
        <v>37</v>
      </c>
      <c r="D34" s="141">
        <v>52.88</v>
      </c>
      <c r="E34" s="139">
        <v>1.0</v>
      </c>
      <c r="F34" s="140">
        <f t="shared" si="31"/>
        <v>52.88</v>
      </c>
      <c r="G34" s="141">
        <v>0.16</v>
      </c>
      <c r="H34" s="139"/>
      <c r="I34" s="139"/>
      <c r="J34" s="143">
        <f t="shared" si="32"/>
        <v>-0.16</v>
      </c>
      <c r="K34" s="144">
        <f t="shared" si="33"/>
        <v>-0.003025718608</v>
      </c>
      <c r="L34" s="144">
        <f t="shared" si="34"/>
        <v>-0.008002806464</v>
      </c>
      <c r="M34" s="162">
        <f>IFERROR(__xludf.DUMMYFUNCTION("googlefinance(C34)"),62.54)</f>
        <v>62.54</v>
      </c>
      <c r="N34" s="162">
        <f t="shared" si="35"/>
        <v>62.54</v>
      </c>
      <c r="O34" s="146">
        <f t="shared" si="36"/>
        <v>0.1791101056</v>
      </c>
      <c r="P34" s="147">
        <f t="shared" si="37"/>
        <v>0.4737332503</v>
      </c>
      <c r="Q34" s="57">
        <f t="shared" si="38"/>
        <v>138</v>
      </c>
      <c r="R34" s="27">
        <f t="shared" si="39"/>
        <v>0.07484678207</v>
      </c>
      <c r="S34" s="104"/>
    </row>
    <row r="35">
      <c r="B35" s="148">
        <f>Q36</f>
        <v>44268</v>
      </c>
      <c r="C35" s="205" t="s">
        <v>37</v>
      </c>
      <c r="D35" s="150">
        <f>F35/E35</f>
        <v>50.465</v>
      </c>
      <c r="E35" s="151">
        <f t="shared" ref="E35:J35" si="41">SUM(E30:E34)</f>
        <v>14</v>
      </c>
      <c r="F35" s="150">
        <f t="shared" si="41"/>
        <v>706.51</v>
      </c>
      <c r="G35" s="150">
        <f t="shared" si="41"/>
        <v>2.12</v>
      </c>
      <c r="H35" s="151">
        <f t="shared" si="41"/>
        <v>13.24</v>
      </c>
      <c r="I35" s="151">
        <f t="shared" si="41"/>
        <v>0</v>
      </c>
      <c r="J35" s="152">
        <f t="shared" si="41"/>
        <v>11.12</v>
      </c>
      <c r="K35" s="153">
        <f t="shared" si="33"/>
        <v>0.01573933844</v>
      </c>
      <c r="L35" s="153">
        <f t="shared" si="34"/>
        <v>0.01665176385</v>
      </c>
      <c r="M35" s="150">
        <f>IFERROR(__xludf.DUMMYFUNCTION("googlefinance(C35)"),62.54)</f>
        <v>62.54</v>
      </c>
      <c r="N35" s="150">
        <f t="shared" si="35"/>
        <v>875.56</v>
      </c>
      <c r="O35" s="155">
        <f t="shared" si="36"/>
        <v>0.2542511607</v>
      </c>
      <c r="P35" s="156">
        <f t="shared" si="37"/>
        <v>0.2689903584</v>
      </c>
      <c r="Q35" s="95">
        <f>SUMPRODUCT(Q30:Q34, R30:R34)</f>
        <v>344.6460914</v>
      </c>
    </row>
    <row r="36">
      <c r="Q36" s="96">
        <f>today() - round(Q35,0)</f>
        <v>44268</v>
      </c>
    </row>
    <row r="37">
      <c r="B37" s="118" t="s">
        <v>3</v>
      </c>
      <c r="C37" s="119" t="s">
        <v>4</v>
      </c>
      <c r="D37" s="119" t="s">
        <v>7</v>
      </c>
      <c r="E37" s="119" t="s">
        <v>8</v>
      </c>
      <c r="F37" s="119" t="s">
        <v>9</v>
      </c>
      <c r="G37" s="119" t="s">
        <v>10</v>
      </c>
      <c r="H37" s="119" t="s">
        <v>11</v>
      </c>
      <c r="I37" s="119" t="s">
        <v>13</v>
      </c>
      <c r="J37" s="119" t="s">
        <v>14</v>
      </c>
      <c r="K37" s="119" t="s">
        <v>15</v>
      </c>
      <c r="L37" s="119" t="s">
        <v>16</v>
      </c>
      <c r="M37" s="119" t="s">
        <v>17</v>
      </c>
      <c r="N37" s="119" t="s">
        <v>18</v>
      </c>
      <c r="O37" s="119" t="s">
        <v>19</v>
      </c>
      <c r="P37" s="120" t="s">
        <v>20</v>
      </c>
      <c r="Q37" s="18"/>
      <c r="R37" s="18"/>
    </row>
    <row r="38">
      <c r="B38" s="194">
        <v>44230.0</v>
      </c>
      <c r="C38" s="203" t="s">
        <v>39</v>
      </c>
      <c r="D38" s="126">
        <f> 120.27</f>
        <v>120.27</v>
      </c>
      <c r="E38" s="124">
        <v>2.0</v>
      </c>
      <c r="F38" s="125">
        <f t="shared" ref="F38:F41" si="42">D38*E38</f>
        <v>240.54</v>
      </c>
      <c r="G38" s="126">
        <v>0.72</v>
      </c>
      <c r="H38" s="124">
        <f> 2.93 + 2.95 + 2.95</f>
        <v>8.83</v>
      </c>
      <c r="I38" s="124"/>
      <c r="J38" s="129">
        <f t="shared" ref="J38:J41" si="43">H38-I38-G38</f>
        <v>8.11</v>
      </c>
      <c r="K38" s="130">
        <f t="shared" ref="K38:K42" si="44">J38/F38</f>
        <v>0.0337158061</v>
      </c>
      <c r="L38" s="130">
        <f t="shared" ref="L38:L42" si="45">J38/F38/(TODAY()-B38)*365</f>
        <v>0.03213125125</v>
      </c>
      <c r="M38" s="157">
        <f>IFERROR(__xludf.DUMMYFUNCTION("googlefinance(C38)"),124.35)</f>
        <v>124.35</v>
      </c>
      <c r="N38" s="157">
        <f t="shared" ref="N38:N42" si="46">M38*E38</f>
        <v>248.7</v>
      </c>
      <c r="O38" s="132">
        <f t="shared" ref="O38:O42" si="47">(N38+J38-F38)/(F38+G38)</f>
        <v>0.06743761917</v>
      </c>
      <c r="P38" s="133">
        <f t="shared" ref="P38:P42" si="48">O38/(TODAY()-B38)*365</f>
        <v>0.06426822714</v>
      </c>
      <c r="Q38" s="57">
        <f t="shared" ref="Q38:Q41" si="49">today() - B38</f>
        <v>383</v>
      </c>
      <c r="R38" s="27">
        <f t="shared" ref="R38:R41" si="50">F38/SUM(F$38:F$41)</f>
        <v>0.3193404493</v>
      </c>
      <c r="S38" s="104"/>
    </row>
    <row r="39">
      <c r="B39" s="158">
        <v>44251.0</v>
      </c>
      <c r="C39" s="81" t="s">
        <v>39</v>
      </c>
      <c r="D39" s="82">
        <f> 120.12</f>
        <v>120.12</v>
      </c>
      <c r="E39" s="66">
        <v>2.0</v>
      </c>
      <c r="F39" s="83">
        <f t="shared" si="42"/>
        <v>240.24</v>
      </c>
      <c r="G39" s="82">
        <v>0.72</v>
      </c>
      <c r="H39" s="66">
        <f> 2.95 + 2.95</f>
        <v>5.9</v>
      </c>
      <c r="I39" s="66"/>
      <c r="J39" s="37">
        <f t="shared" si="43"/>
        <v>5.18</v>
      </c>
      <c r="K39" s="38">
        <f t="shared" si="44"/>
        <v>0.02156177156</v>
      </c>
      <c r="L39" s="38">
        <f t="shared" si="45"/>
        <v>0.02174046028</v>
      </c>
      <c r="M39" s="85">
        <f>IFERROR(__xludf.DUMMYFUNCTION("googlefinance(C39)"),124.35)</f>
        <v>124.35</v>
      </c>
      <c r="N39" s="85">
        <f t="shared" si="46"/>
        <v>248.7</v>
      </c>
      <c r="O39" s="41">
        <f t="shared" si="47"/>
        <v>0.05660690571</v>
      </c>
      <c r="P39" s="135">
        <f t="shared" si="48"/>
        <v>0.05707602371</v>
      </c>
      <c r="Q39" s="57">
        <f t="shared" si="49"/>
        <v>362</v>
      </c>
      <c r="R39" s="27">
        <f t="shared" si="50"/>
        <v>0.3189421698</v>
      </c>
      <c r="S39" s="104"/>
    </row>
    <row r="40">
      <c r="B40" s="158">
        <v>44321.0</v>
      </c>
      <c r="C40" s="81" t="s">
        <v>39</v>
      </c>
      <c r="D40" s="82">
        <v>146.12</v>
      </c>
      <c r="E40" s="66">
        <v>1.0</v>
      </c>
      <c r="F40" s="83">
        <f t="shared" si="42"/>
        <v>146.12</v>
      </c>
      <c r="G40" s="82">
        <v>0.44</v>
      </c>
      <c r="H40" s="66">
        <f> 1.48 + 1.48</f>
        <v>2.96</v>
      </c>
      <c r="I40" s="66"/>
      <c r="J40" s="37">
        <f t="shared" si="43"/>
        <v>2.52</v>
      </c>
      <c r="K40" s="38">
        <f t="shared" si="44"/>
        <v>0.0172460991</v>
      </c>
      <c r="L40" s="38">
        <f t="shared" si="45"/>
        <v>0.02155762387</v>
      </c>
      <c r="M40" s="85">
        <f>IFERROR(__xludf.DUMMYFUNCTION("googlefinance(C40)"),124.35)</f>
        <v>124.35</v>
      </c>
      <c r="N40" s="85">
        <f t="shared" si="46"/>
        <v>124.35</v>
      </c>
      <c r="O40" s="41">
        <f t="shared" si="47"/>
        <v>-0.131345524</v>
      </c>
      <c r="P40" s="135">
        <f t="shared" si="48"/>
        <v>-0.164181905</v>
      </c>
      <c r="Q40" s="57">
        <f t="shared" si="49"/>
        <v>292</v>
      </c>
      <c r="R40" s="27">
        <f t="shared" si="50"/>
        <v>0.1939886358</v>
      </c>
      <c r="S40" s="104"/>
    </row>
    <row r="41">
      <c r="B41" s="160">
        <v>44503.0</v>
      </c>
      <c r="C41" s="204" t="s">
        <v>39</v>
      </c>
      <c r="D41" s="141">
        <v>126.34</v>
      </c>
      <c r="E41" s="139">
        <v>1.0</v>
      </c>
      <c r="F41" s="140">
        <f t="shared" si="42"/>
        <v>126.34</v>
      </c>
      <c r="G41" s="141">
        <v>0.38</v>
      </c>
      <c r="H41" s="139"/>
      <c r="I41" s="139"/>
      <c r="J41" s="143">
        <f t="shared" si="43"/>
        <v>-0.38</v>
      </c>
      <c r="K41" s="144">
        <f t="shared" si="44"/>
        <v>-0.003007756847</v>
      </c>
      <c r="L41" s="144">
        <f t="shared" si="45"/>
        <v>-0.009980284082</v>
      </c>
      <c r="M41" s="162">
        <f>IFERROR(__xludf.DUMMYFUNCTION("googlefinance(C41)"),124.35)</f>
        <v>124.35</v>
      </c>
      <c r="N41" s="162">
        <f t="shared" si="46"/>
        <v>124.35</v>
      </c>
      <c r="O41" s="146">
        <f t="shared" si="47"/>
        <v>-0.01870265152</v>
      </c>
      <c r="P41" s="147">
        <f t="shared" si="48"/>
        <v>-0.06205879821</v>
      </c>
      <c r="Q41" s="57">
        <f t="shared" si="49"/>
        <v>110</v>
      </c>
      <c r="R41" s="27">
        <f t="shared" si="50"/>
        <v>0.1677287452</v>
      </c>
      <c r="S41" s="104"/>
    </row>
    <row r="42">
      <c r="B42" s="148">
        <f>Q43</f>
        <v>44300</v>
      </c>
      <c r="C42" s="205" t="s">
        <v>39</v>
      </c>
      <c r="D42" s="150">
        <f>F42/E42</f>
        <v>125.54</v>
      </c>
      <c r="E42" s="151">
        <f t="shared" ref="E42:J42" si="51">SUM(E38:E41)</f>
        <v>6</v>
      </c>
      <c r="F42" s="150">
        <f t="shared" si="51"/>
        <v>753.24</v>
      </c>
      <c r="G42" s="150">
        <f t="shared" si="51"/>
        <v>2.26</v>
      </c>
      <c r="H42" s="151">
        <f t="shared" si="51"/>
        <v>17.69</v>
      </c>
      <c r="I42" s="151">
        <f t="shared" si="51"/>
        <v>0</v>
      </c>
      <c r="J42" s="152">
        <f t="shared" si="51"/>
        <v>15.43</v>
      </c>
      <c r="K42" s="153">
        <f t="shared" si="44"/>
        <v>0.02048483883</v>
      </c>
      <c r="L42" s="153">
        <f t="shared" si="45"/>
        <v>0.02388807084</v>
      </c>
      <c r="M42" s="150">
        <f>IFERROR(__xludf.DUMMYFUNCTION("googlefinance(C42)"),124.35)</f>
        <v>124.35</v>
      </c>
      <c r="N42" s="150">
        <f t="shared" si="46"/>
        <v>746.1</v>
      </c>
      <c r="O42" s="155">
        <f t="shared" si="47"/>
        <v>0.01097286565</v>
      </c>
      <c r="P42" s="156">
        <f t="shared" si="48"/>
        <v>0.01279583375</v>
      </c>
      <c r="Q42" s="95">
        <f>SUMPRODUCT(Q38:Q41, R38:R41)</f>
        <v>312.8593012</v>
      </c>
    </row>
    <row r="43">
      <c r="Q43" s="96">
        <f>today() - round(Q42,0)</f>
        <v>44300</v>
      </c>
    </row>
    <row r="44">
      <c r="B44" s="118" t="s">
        <v>3</v>
      </c>
      <c r="C44" s="119" t="s">
        <v>4</v>
      </c>
      <c r="D44" s="119" t="s">
        <v>7</v>
      </c>
      <c r="E44" s="119" t="s">
        <v>8</v>
      </c>
      <c r="F44" s="119" t="s">
        <v>9</v>
      </c>
      <c r="G44" s="119" t="s">
        <v>10</v>
      </c>
      <c r="H44" s="119" t="s">
        <v>11</v>
      </c>
      <c r="I44" s="119" t="s">
        <v>13</v>
      </c>
      <c r="J44" s="119" t="s">
        <v>14</v>
      </c>
      <c r="K44" s="119" t="s">
        <v>15</v>
      </c>
      <c r="L44" s="119" t="s">
        <v>16</v>
      </c>
      <c r="M44" s="119" t="s">
        <v>17</v>
      </c>
      <c r="N44" s="119" t="s">
        <v>18</v>
      </c>
      <c r="O44" s="119" t="s">
        <v>19</v>
      </c>
      <c r="P44" s="120" t="s">
        <v>20</v>
      </c>
      <c r="Q44" s="18"/>
      <c r="R44" s="18"/>
    </row>
    <row r="45">
      <c r="B45" s="194">
        <v>44272.0</v>
      </c>
      <c r="C45" s="203" t="s">
        <v>40</v>
      </c>
      <c r="D45" s="126">
        <f> 88.4</f>
        <v>88.4</v>
      </c>
      <c r="E45" s="124">
        <v>3.0</v>
      </c>
      <c r="F45" s="125">
        <f t="shared" ref="F45:F48" si="52">D45*E45</f>
        <v>265.2</v>
      </c>
      <c r="G45" s="157">
        <f> 0.81</f>
        <v>0.81</v>
      </c>
      <c r="H45" s="124">
        <f> 3.58 + 3.58 + 3.73</f>
        <v>10.89</v>
      </c>
      <c r="I45" s="124"/>
      <c r="J45" s="129">
        <f t="shared" ref="J45:J48" si="53">H45-I45-G45</f>
        <v>10.08</v>
      </c>
      <c r="K45" s="130">
        <f t="shared" ref="K45:K49" si="54">J45/F45</f>
        <v>0.03800904977</v>
      </c>
      <c r="L45" s="130">
        <f t="shared" ref="L45:L49" si="55">J45/F45/(TODAY()-B45)*365</f>
        <v>0.04068417351</v>
      </c>
      <c r="M45" s="157">
        <f>IFERROR(__xludf.DUMMYFUNCTION("googlefinance(C45)"),111.61)</f>
        <v>111.61</v>
      </c>
      <c r="N45" s="157">
        <f t="shared" ref="N45:N49" si="56">M45*E45</f>
        <v>334.83</v>
      </c>
      <c r="O45" s="132">
        <f t="shared" ref="O45:O49" si="57">(N45+J45-F45)/(F45+G45)</f>
        <v>0.2996503891</v>
      </c>
      <c r="P45" s="133">
        <f t="shared" ref="P45:P49" si="58">O45/(TODAY()-B45)*365</f>
        <v>0.3207401525</v>
      </c>
      <c r="Q45" s="57">
        <f t="shared" ref="Q45:Q48" si="59">today() - B45</f>
        <v>341</v>
      </c>
      <c r="R45" s="27">
        <f t="shared" ref="R45:R48" si="60">F45/SUM(F$45:F$48)</f>
        <v>0.3666731189</v>
      </c>
      <c r="S45" s="104"/>
    </row>
    <row r="46">
      <c r="B46" s="158">
        <v>44293.0</v>
      </c>
      <c r="C46" s="81" t="s">
        <v>40</v>
      </c>
      <c r="D46" s="82">
        <v>88.87</v>
      </c>
      <c r="E46" s="66">
        <v>3.0</v>
      </c>
      <c r="F46" s="83">
        <f t="shared" si="52"/>
        <v>266.61</v>
      </c>
      <c r="G46" s="82">
        <v>0.8</v>
      </c>
      <c r="H46" s="66">
        <f> 3.58 + 3.73</f>
        <v>7.31</v>
      </c>
      <c r="I46" s="66"/>
      <c r="J46" s="37">
        <f t="shared" si="53"/>
        <v>6.51</v>
      </c>
      <c r="K46" s="38">
        <f t="shared" si="54"/>
        <v>0.02441768876</v>
      </c>
      <c r="L46" s="38">
        <f t="shared" si="55"/>
        <v>0.02785142624</v>
      </c>
      <c r="M46" s="85">
        <f>IFERROR(__xludf.DUMMYFUNCTION("googlefinance(C46)"),111.61)</f>
        <v>111.61</v>
      </c>
      <c r="N46" s="85">
        <f t="shared" si="56"/>
        <v>334.83</v>
      </c>
      <c r="O46" s="41">
        <f t="shared" si="57"/>
        <v>0.2794585094</v>
      </c>
      <c r="P46" s="135">
        <f t="shared" si="58"/>
        <v>0.3187573623</v>
      </c>
      <c r="Q46" s="57">
        <f t="shared" si="59"/>
        <v>320</v>
      </c>
      <c r="R46" s="27">
        <f t="shared" si="60"/>
        <v>0.3686226253</v>
      </c>
      <c r="S46" s="104"/>
    </row>
    <row r="47">
      <c r="B47" s="158">
        <v>44321.0</v>
      </c>
      <c r="C47" s="81" t="s">
        <v>40</v>
      </c>
      <c r="D47" s="82">
        <v>95.28</v>
      </c>
      <c r="E47" s="66">
        <v>1.0</v>
      </c>
      <c r="F47" s="83">
        <f t="shared" si="52"/>
        <v>95.28</v>
      </c>
      <c r="G47" s="82">
        <v>0.29</v>
      </c>
      <c r="H47" s="66">
        <f> 1.19 + 1.24</f>
        <v>2.43</v>
      </c>
      <c r="I47" s="66"/>
      <c r="J47" s="37">
        <f t="shared" si="53"/>
        <v>2.14</v>
      </c>
      <c r="K47" s="38">
        <f t="shared" si="54"/>
        <v>0.02246011755</v>
      </c>
      <c r="L47" s="38">
        <f t="shared" si="55"/>
        <v>0.02807514694</v>
      </c>
      <c r="M47" s="85">
        <f>IFERROR(__xludf.DUMMYFUNCTION("googlefinance(C47)"),111.61)</f>
        <v>111.61</v>
      </c>
      <c r="N47" s="85">
        <f t="shared" si="56"/>
        <v>111.61</v>
      </c>
      <c r="O47" s="41">
        <f t="shared" si="57"/>
        <v>0.1932614837</v>
      </c>
      <c r="P47" s="135">
        <f t="shared" si="58"/>
        <v>0.2415768547</v>
      </c>
      <c r="Q47" s="57">
        <f t="shared" si="59"/>
        <v>292</v>
      </c>
      <c r="R47" s="27">
        <f t="shared" si="60"/>
        <v>0.1317368581</v>
      </c>
      <c r="S47" s="104"/>
    </row>
    <row r="48">
      <c r="B48" s="160">
        <v>44475.0</v>
      </c>
      <c r="C48" s="204" t="s">
        <v>40</v>
      </c>
      <c r="D48" s="141">
        <v>96.17</v>
      </c>
      <c r="E48" s="139">
        <v>1.0</v>
      </c>
      <c r="F48" s="140">
        <f t="shared" si="52"/>
        <v>96.17</v>
      </c>
      <c r="G48" s="141">
        <v>0.29</v>
      </c>
      <c r="H48" s="139"/>
      <c r="I48" s="139"/>
      <c r="J48" s="143">
        <f t="shared" si="53"/>
        <v>-0.29</v>
      </c>
      <c r="K48" s="144">
        <f t="shared" si="54"/>
        <v>-0.003015493397</v>
      </c>
      <c r="L48" s="144">
        <f t="shared" si="55"/>
        <v>-0.007975761521</v>
      </c>
      <c r="M48" s="162">
        <f>IFERROR(__xludf.DUMMYFUNCTION("googlefinance(C48)"),111.61)</f>
        <v>111.61</v>
      </c>
      <c r="N48" s="162">
        <f t="shared" si="56"/>
        <v>111.61</v>
      </c>
      <c r="O48" s="146">
        <f t="shared" si="57"/>
        <v>0.1570599212</v>
      </c>
      <c r="P48" s="147">
        <f t="shared" si="58"/>
        <v>0.4154121104</v>
      </c>
      <c r="Q48" s="57">
        <f t="shared" si="59"/>
        <v>138</v>
      </c>
      <c r="R48" s="27">
        <f t="shared" si="60"/>
        <v>0.1329673976</v>
      </c>
      <c r="S48" s="104"/>
    </row>
    <row r="49">
      <c r="B49" s="148">
        <f>Q50</f>
        <v>44313</v>
      </c>
      <c r="C49" s="205" t="s">
        <v>40</v>
      </c>
      <c r="D49" s="150">
        <f>F49/E49</f>
        <v>90.4075</v>
      </c>
      <c r="E49" s="151">
        <f t="shared" ref="E49:J49" si="61">SUM(E45:E48)</f>
        <v>8</v>
      </c>
      <c r="F49" s="150">
        <f t="shared" si="61"/>
        <v>723.26</v>
      </c>
      <c r="G49" s="150">
        <f t="shared" si="61"/>
        <v>2.19</v>
      </c>
      <c r="H49" s="151">
        <f t="shared" si="61"/>
        <v>20.63</v>
      </c>
      <c r="I49" s="151">
        <f t="shared" si="61"/>
        <v>0</v>
      </c>
      <c r="J49" s="152">
        <f t="shared" si="61"/>
        <v>18.44</v>
      </c>
      <c r="K49" s="153">
        <f t="shared" si="54"/>
        <v>0.02549567237</v>
      </c>
      <c r="L49" s="153">
        <f t="shared" si="55"/>
        <v>0.03101973472</v>
      </c>
      <c r="M49" s="150">
        <f>IFERROR(__xludf.DUMMYFUNCTION("googlefinance(C49)"),111.61)</f>
        <v>111.61</v>
      </c>
      <c r="N49" s="150">
        <f t="shared" si="56"/>
        <v>892.88</v>
      </c>
      <c r="O49" s="155">
        <f t="shared" si="57"/>
        <v>0.2592322007</v>
      </c>
      <c r="P49" s="156">
        <f t="shared" si="58"/>
        <v>0.3153991775</v>
      </c>
      <c r="Q49" s="95">
        <f>SUMPRODUCT(Q45:Q48, R45:R48)</f>
        <v>299.8114371</v>
      </c>
    </row>
    <row r="50">
      <c r="Q50" s="96">
        <f>today() - round(Q49,0)</f>
        <v>44313</v>
      </c>
    </row>
    <row r="51">
      <c r="B51" s="118" t="s">
        <v>3</v>
      </c>
      <c r="C51" s="119" t="s">
        <v>4</v>
      </c>
      <c r="D51" s="119" t="s">
        <v>7</v>
      </c>
      <c r="E51" s="119" t="s">
        <v>8</v>
      </c>
      <c r="F51" s="119" t="s">
        <v>9</v>
      </c>
      <c r="G51" s="119" t="s">
        <v>10</v>
      </c>
      <c r="H51" s="119" t="s">
        <v>11</v>
      </c>
      <c r="I51" s="119" t="s">
        <v>13</v>
      </c>
      <c r="J51" s="119" t="s">
        <v>14</v>
      </c>
      <c r="K51" s="119" t="s">
        <v>15</v>
      </c>
      <c r="L51" s="119" t="s">
        <v>16</v>
      </c>
      <c r="M51" s="119" t="s">
        <v>17</v>
      </c>
      <c r="N51" s="119" t="s">
        <v>18</v>
      </c>
      <c r="O51" s="119" t="s">
        <v>19</v>
      </c>
      <c r="P51" s="120" t="s">
        <v>20</v>
      </c>
      <c r="Q51" s="18"/>
      <c r="R51" s="18"/>
    </row>
    <row r="52">
      <c r="B52" s="194">
        <v>44335.0</v>
      </c>
      <c r="C52" s="203" t="s">
        <v>41</v>
      </c>
      <c r="D52" s="126">
        <v>15.6</v>
      </c>
      <c r="E52" s="124">
        <v>10.0</v>
      </c>
      <c r="F52" s="125">
        <f t="shared" ref="F52:F60" si="62">D52*E52</f>
        <v>156</v>
      </c>
      <c r="G52" s="126">
        <v>0.46</v>
      </c>
      <c r="H52" s="124">
        <f> 1.35 + 1.35</f>
        <v>2.7</v>
      </c>
      <c r="I52" s="124"/>
      <c r="J52" s="129">
        <f t="shared" ref="J52:J60" si="63">H52-I52-G52</f>
        <v>2.24</v>
      </c>
      <c r="K52" s="130">
        <f t="shared" ref="K52:K61" si="64">J52/F52</f>
        <v>0.01435897436</v>
      </c>
      <c r="L52" s="130">
        <f t="shared" ref="L52:L61" si="65">J52/F52/(TODAY()-B52)*365</f>
        <v>0.01885261022</v>
      </c>
      <c r="M52" s="157">
        <f>IFERROR(__xludf.DUMMYFUNCTION("googlefinance(C52)"),15.85)</f>
        <v>15.85</v>
      </c>
      <c r="N52" s="157">
        <f t="shared" ref="N52:N61" si="66">M52*E52</f>
        <v>158.5</v>
      </c>
      <c r="O52" s="132">
        <f t="shared" ref="O52:O61" si="67">(N52+J52-F52)/(F52+G52)</f>
        <v>0.03029528314</v>
      </c>
      <c r="P52" s="133">
        <f t="shared" ref="P52:P61" si="68">O52/(TODAY()-B52)*365</f>
        <v>0.0397761811</v>
      </c>
      <c r="Q52" s="57">
        <f t="shared" ref="Q52:Q60" si="69">today() - B52</f>
        <v>278</v>
      </c>
      <c r="R52" s="27">
        <f t="shared" ref="R52:R60" si="70">F52/SUM(F$52:F$60)</f>
        <v>0.2028977967</v>
      </c>
      <c r="S52" s="104"/>
    </row>
    <row r="53">
      <c r="B53" s="158">
        <v>44349.0</v>
      </c>
      <c r="C53" s="81" t="s">
        <v>41</v>
      </c>
      <c r="D53" s="82">
        <v>16.11</v>
      </c>
      <c r="E53" s="66">
        <v>16.0</v>
      </c>
      <c r="F53" s="83">
        <f t="shared" si="62"/>
        <v>257.76</v>
      </c>
      <c r="G53" s="82">
        <v>0.78</v>
      </c>
      <c r="H53" s="66">
        <f> 2.16 + 2.16</f>
        <v>4.32</v>
      </c>
      <c r="I53" s="66"/>
      <c r="J53" s="37">
        <f t="shared" si="63"/>
        <v>3.54</v>
      </c>
      <c r="K53" s="38">
        <f t="shared" si="64"/>
        <v>0.01373370577</v>
      </c>
      <c r="L53" s="38">
        <f t="shared" si="65"/>
        <v>0.01898788866</v>
      </c>
      <c r="M53" s="85">
        <f>IFERROR(__xludf.DUMMYFUNCTION("googlefinance(C53)"),15.85)</f>
        <v>15.85</v>
      </c>
      <c r="N53" s="85">
        <f t="shared" si="66"/>
        <v>253.6</v>
      </c>
      <c r="O53" s="41">
        <f t="shared" si="67"/>
        <v>-0.002398081535</v>
      </c>
      <c r="P53" s="135">
        <f t="shared" si="68"/>
        <v>-0.003315529395</v>
      </c>
      <c r="Q53" s="57">
        <f t="shared" si="69"/>
        <v>264</v>
      </c>
      <c r="R53" s="27">
        <f t="shared" si="70"/>
        <v>0.3352495903</v>
      </c>
      <c r="S53" s="104"/>
    </row>
    <row r="54">
      <c r="B54" s="158">
        <v>44356.0</v>
      </c>
      <c r="C54" s="81" t="s">
        <v>41</v>
      </c>
      <c r="D54" s="82">
        <v>15.11</v>
      </c>
      <c r="E54" s="66">
        <v>2.0</v>
      </c>
      <c r="F54" s="83">
        <f t="shared" si="62"/>
        <v>30.22</v>
      </c>
      <c r="G54" s="82">
        <v>0.1</v>
      </c>
      <c r="H54" s="66">
        <f> 0.27 + 0.27</f>
        <v>0.54</v>
      </c>
      <c r="I54" s="66"/>
      <c r="J54" s="37">
        <f t="shared" si="63"/>
        <v>0.44</v>
      </c>
      <c r="K54" s="38">
        <f t="shared" si="64"/>
        <v>0.01455989411</v>
      </c>
      <c r="L54" s="38">
        <f t="shared" si="65"/>
        <v>0.02067844883</v>
      </c>
      <c r="M54" s="85">
        <f>IFERROR(__xludf.DUMMYFUNCTION("googlefinance(C54)"),15.85)</f>
        <v>15.85</v>
      </c>
      <c r="N54" s="85">
        <f t="shared" si="66"/>
        <v>31.7</v>
      </c>
      <c r="O54" s="41">
        <f t="shared" si="67"/>
        <v>0.06332453826</v>
      </c>
      <c r="P54" s="135">
        <f t="shared" si="68"/>
        <v>0.08993562827</v>
      </c>
      <c r="Q54" s="57">
        <f t="shared" si="69"/>
        <v>257</v>
      </c>
      <c r="R54" s="27">
        <f t="shared" si="70"/>
        <v>0.03930494498</v>
      </c>
      <c r="S54" s="104"/>
    </row>
    <row r="55">
      <c r="B55" s="206">
        <v>44363.0</v>
      </c>
      <c r="C55" s="207" t="s">
        <v>41</v>
      </c>
      <c r="D55" s="208">
        <v>14.42</v>
      </c>
      <c r="E55" s="209">
        <v>2.0</v>
      </c>
      <c r="F55" s="210">
        <f t="shared" si="62"/>
        <v>28.84</v>
      </c>
      <c r="G55" s="208">
        <v>0.08</v>
      </c>
      <c r="H55" s="209">
        <f> 0.27</f>
        <v>0.27</v>
      </c>
      <c r="I55" s="209"/>
      <c r="J55" s="211">
        <f t="shared" si="63"/>
        <v>0.19</v>
      </c>
      <c r="K55" s="212">
        <f t="shared" si="64"/>
        <v>0.006588072122</v>
      </c>
      <c r="L55" s="213">
        <f t="shared" si="65"/>
        <v>0.009618585298</v>
      </c>
      <c r="M55" s="214">
        <f>IFERROR(__xludf.DUMMYFUNCTION("googlefinance(C55)"),15.85)</f>
        <v>15.85</v>
      </c>
      <c r="N55" s="214">
        <f t="shared" si="66"/>
        <v>31.7</v>
      </c>
      <c r="O55" s="215">
        <f t="shared" si="67"/>
        <v>0.1054633472</v>
      </c>
      <c r="P55" s="216">
        <f t="shared" si="68"/>
        <v>0.1539764869</v>
      </c>
      <c r="Q55" s="57">
        <f t="shared" si="69"/>
        <v>250</v>
      </c>
      <c r="R55" s="27">
        <f t="shared" si="70"/>
        <v>0.03751007986</v>
      </c>
      <c r="S55" s="104"/>
    </row>
    <row r="56">
      <c r="B56" s="206">
        <v>44370.0</v>
      </c>
      <c r="C56" s="207" t="s">
        <v>41</v>
      </c>
      <c r="D56" s="208">
        <v>13.82</v>
      </c>
      <c r="E56" s="217">
        <v>3.0</v>
      </c>
      <c r="F56" s="210">
        <f t="shared" si="62"/>
        <v>41.46</v>
      </c>
      <c r="G56" s="208">
        <v>0.12</v>
      </c>
      <c r="H56" s="209">
        <f> 0.41</f>
        <v>0.41</v>
      </c>
      <c r="I56" s="209"/>
      <c r="J56" s="211">
        <f t="shared" si="63"/>
        <v>0.29</v>
      </c>
      <c r="K56" s="212">
        <f t="shared" si="64"/>
        <v>0.006994693681</v>
      </c>
      <c r="L56" s="213">
        <f t="shared" si="65"/>
        <v>0.01050643289</v>
      </c>
      <c r="M56" s="214">
        <f>IFERROR(__xludf.DUMMYFUNCTION("googlefinance(C56)"),15.85)</f>
        <v>15.85</v>
      </c>
      <c r="N56" s="214">
        <f t="shared" si="66"/>
        <v>47.55</v>
      </c>
      <c r="O56" s="215">
        <f t="shared" si="67"/>
        <v>0.1534391534</v>
      </c>
      <c r="P56" s="216">
        <f t="shared" si="68"/>
        <v>0.2304744486</v>
      </c>
      <c r="Q56" s="57">
        <f t="shared" si="69"/>
        <v>243</v>
      </c>
      <c r="R56" s="27">
        <f t="shared" si="70"/>
        <v>0.05392399136</v>
      </c>
      <c r="S56" s="104"/>
    </row>
    <row r="57">
      <c r="B57" s="206">
        <v>44377.0</v>
      </c>
      <c r="C57" s="207" t="s">
        <v>41</v>
      </c>
      <c r="D57" s="208">
        <v>14.31</v>
      </c>
      <c r="E57" s="217">
        <v>5.0</v>
      </c>
      <c r="F57" s="210">
        <f t="shared" si="62"/>
        <v>71.55</v>
      </c>
      <c r="G57" s="208">
        <v>0.21</v>
      </c>
      <c r="H57" s="209">
        <f> 0.68</f>
        <v>0.68</v>
      </c>
      <c r="I57" s="209"/>
      <c r="J57" s="211">
        <f t="shared" si="63"/>
        <v>0.47</v>
      </c>
      <c r="K57" s="212">
        <f t="shared" si="64"/>
        <v>0.006568832984</v>
      </c>
      <c r="L57" s="213">
        <f t="shared" si="65"/>
        <v>0.01015942389</v>
      </c>
      <c r="M57" s="214">
        <f>IFERROR(__xludf.DUMMYFUNCTION("googlefinance(C57)"),15.85)</f>
        <v>15.85</v>
      </c>
      <c r="N57" s="214">
        <f t="shared" si="66"/>
        <v>79.25</v>
      </c>
      <c r="O57" s="215">
        <f t="shared" si="67"/>
        <v>0.113851728</v>
      </c>
      <c r="P57" s="216">
        <f t="shared" si="68"/>
        <v>0.1760842403</v>
      </c>
      <c r="Q57" s="57">
        <f t="shared" si="69"/>
        <v>236</v>
      </c>
      <c r="R57" s="27">
        <f t="shared" si="70"/>
        <v>0.09305985485</v>
      </c>
      <c r="S57" s="104"/>
    </row>
    <row r="58">
      <c r="B58" s="206">
        <v>44412.0</v>
      </c>
      <c r="C58" s="207" t="s">
        <v>41</v>
      </c>
      <c r="D58" s="208">
        <v>14.725</v>
      </c>
      <c r="E58" s="217">
        <v>6.0</v>
      </c>
      <c r="F58" s="210">
        <f t="shared" si="62"/>
        <v>88.35</v>
      </c>
      <c r="G58" s="208">
        <v>0.26</v>
      </c>
      <c r="H58" s="209">
        <f> 0.81</f>
        <v>0.81</v>
      </c>
      <c r="I58" s="209"/>
      <c r="J58" s="211">
        <f t="shared" si="63"/>
        <v>0.55</v>
      </c>
      <c r="K58" s="212">
        <f t="shared" si="64"/>
        <v>0.006225240521</v>
      </c>
      <c r="L58" s="213">
        <f t="shared" si="65"/>
        <v>0.01130454124</v>
      </c>
      <c r="M58" s="214">
        <f>IFERROR(__xludf.DUMMYFUNCTION("googlefinance(C58)"),15.85)</f>
        <v>15.85</v>
      </c>
      <c r="N58" s="214">
        <f t="shared" si="66"/>
        <v>95.1</v>
      </c>
      <c r="O58" s="215">
        <f t="shared" si="67"/>
        <v>0.08238347816</v>
      </c>
      <c r="P58" s="216">
        <f t="shared" si="68"/>
        <v>0.1496018385</v>
      </c>
      <c r="Q58" s="57">
        <f t="shared" si="69"/>
        <v>201</v>
      </c>
      <c r="R58" s="27">
        <f t="shared" si="70"/>
        <v>0.1149103868</v>
      </c>
      <c r="S58" s="104"/>
    </row>
    <row r="59">
      <c r="B59" s="206">
        <v>44440.0</v>
      </c>
      <c r="C59" s="207" t="s">
        <v>41</v>
      </c>
      <c r="D59" s="208">
        <v>15.6</v>
      </c>
      <c r="E59" s="209">
        <v>2.0</v>
      </c>
      <c r="F59" s="210">
        <f t="shared" si="62"/>
        <v>31.2</v>
      </c>
      <c r="G59" s="208">
        <v>0.1</v>
      </c>
      <c r="H59" s="209">
        <f> 0.27</f>
        <v>0.27</v>
      </c>
      <c r="I59" s="209"/>
      <c r="J59" s="211">
        <f t="shared" si="63"/>
        <v>0.17</v>
      </c>
      <c r="K59" s="212">
        <f t="shared" si="64"/>
        <v>0.005448717949</v>
      </c>
      <c r="L59" s="213">
        <f t="shared" si="65"/>
        <v>0.01149585001</v>
      </c>
      <c r="M59" s="214">
        <f>IFERROR(__xludf.DUMMYFUNCTION("googlefinance(C59)"),15.85)</f>
        <v>15.85</v>
      </c>
      <c r="N59" s="214">
        <f t="shared" si="66"/>
        <v>31.7</v>
      </c>
      <c r="O59" s="215">
        <f t="shared" si="67"/>
        <v>0.0214057508</v>
      </c>
      <c r="P59" s="216">
        <f t="shared" si="68"/>
        <v>0.04516242221</v>
      </c>
      <c r="Q59" s="57">
        <f t="shared" si="69"/>
        <v>173</v>
      </c>
      <c r="R59" s="27">
        <f t="shared" si="70"/>
        <v>0.04057955935</v>
      </c>
      <c r="S59" s="104"/>
    </row>
    <row r="60">
      <c r="B60" s="218">
        <v>44503.0</v>
      </c>
      <c r="C60" s="219" t="s">
        <v>41</v>
      </c>
      <c r="D60" s="220">
        <v>15.87</v>
      </c>
      <c r="E60" s="221">
        <v>4.0</v>
      </c>
      <c r="F60" s="222">
        <f t="shared" si="62"/>
        <v>63.48</v>
      </c>
      <c r="G60" s="220">
        <v>0.2</v>
      </c>
      <c r="H60" s="223"/>
      <c r="I60" s="223"/>
      <c r="J60" s="224">
        <f t="shared" si="63"/>
        <v>-0.2</v>
      </c>
      <c r="K60" s="225">
        <f t="shared" si="64"/>
        <v>-0.003150598614</v>
      </c>
      <c r="L60" s="226">
        <f t="shared" si="65"/>
        <v>-0.01045425904</v>
      </c>
      <c r="M60" s="227">
        <f>IFERROR(__xludf.DUMMYFUNCTION("googlefinance(C60)"),15.85)</f>
        <v>15.85</v>
      </c>
      <c r="N60" s="227">
        <f t="shared" si="66"/>
        <v>63.4</v>
      </c>
      <c r="O60" s="228">
        <f t="shared" si="67"/>
        <v>-0.004396984925</v>
      </c>
      <c r="P60" s="229">
        <f t="shared" si="68"/>
        <v>-0.01458999543</v>
      </c>
      <c r="Q60" s="57">
        <f t="shared" si="69"/>
        <v>110</v>
      </c>
      <c r="R60" s="27">
        <f t="shared" si="70"/>
        <v>0.08256379575</v>
      </c>
      <c r="S60" s="104"/>
    </row>
    <row r="61">
      <c r="B61" s="148">
        <f>Q62</f>
        <v>44374</v>
      </c>
      <c r="C61" s="205" t="s">
        <v>41</v>
      </c>
      <c r="D61" s="150">
        <f>F61/E61</f>
        <v>15.3772</v>
      </c>
      <c r="E61" s="151">
        <f t="shared" ref="E61:J61" si="71">SUM(E52:E60)</f>
        <v>50</v>
      </c>
      <c r="F61" s="150">
        <f t="shared" si="71"/>
        <v>768.86</v>
      </c>
      <c r="G61" s="150">
        <f t="shared" si="71"/>
        <v>2.31</v>
      </c>
      <c r="H61" s="151">
        <f t="shared" si="71"/>
        <v>10</v>
      </c>
      <c r="I61" s="151">
        <f t="shared" si="71"/>
        <v>0</v>
      </c>
      <c r="J61" s="152">
        <f t="shared" si="71"/>
        <v>7.69</v>
      </c>
      <c r="K61" s="153">
        <f t="shared" si="64"/>
        <v>0.01000182088</v>
      </c>
      <c r="L61" s="153">
        <f t="shared" si="65"/>
        <v>0.01527474737</v>
      </c>
      <c r="M61" s="150">
        <f>IFERROR(__xludf.DUMMYFUNCTION("googlefinance(C61)"),15.85)</f>
        <v>15.85</v>
      </c>
      <c r="N61" s="150">
        <f t="shared" si="66"/>
        <v>792.5</v>
      </c>
      <c r="O61" s="155">
        <f t="shared" si="67"/>
        <v>0.04062658039</v>
      </c>
      <c r="P61" s="156">
        <f t="shared" si="68"/>
        <v>0.06204477758</v>
      </c>
      <c r="Q61" s="95">
        <f>SUMPRODUCT(Q52:Q60, R52:R60)</f>
        <v>238.6552949</v>
      </c>
    </row>
    <row r="62">
      <c r="Q62" s="96">
        <f>today() - round(Q61,0)</f>
        <v>44374</v>
      </c>
    </row>
    <row r="63">
      <c r="B63" s="118" t="s">
        <v>3</v>
      </c>
      <c r="C63" s="119" t="s">
        <v>4</v>
      </c>
      <c r="D63" s="119" t="s">
        <v>7</v>
      </c>
      <c r="E63" s="119" t="s">
        <v>8</v>
      </c>
      <c r="F63" s="119" t="s">
        <v>9</v>
      </c>
      <c r="G63" s="119" t="s">
        <v>10</v>
      </c>
      <c r="H63" s="119" t="s">
        <v>11</v>
      </c>
      <c r="I63" s="119" t="s">
        <v>13</v>
      </c>
      <c r="J63" s="119" t="s">
        <v>14</v>
      </c>
      <c r="K63" s="119" t="s">
        <v>15</v>
      </c>
      <c r="L63" s="119" t="s">
        <v>16</v>
      </c>
      <c r="M63" s="119" t="s">
        <v>17</v>
      </c>
      <c r="N63" s="119" t="s">
        <v>18</v>
      </c>
      <c r="O63" s="119" t="s">
        <v>19</v>
      </c>
      <c r="P63" s="120" t="s">
        <v>20</v>
      </c>
    </row>
    <row r="64">
      <c r="B64" s="194">
        <v>44356.0</v>
      </c>
      <c r="C64" s="203" t="s">
        <v>42</v>
      </c>
      <c r="D64" s="126">
        <v>56.88</v>
      </c>
      <c r="E64" s="124">
        <v>2.0</v>
      </c>
      <c r="F64" s="125">
        <f t="shared" ref="F64:F70" si="72">D64*E64</f>
        <v>113.76</v>
      </c>
      <c r="G64" s="126">
        <v>0.34</v>
      </c>
      <c r="H64" s="124">
        <f t="shared" ref="H64:H65" si="73"> 1.19 + 1.19</f>
        <v>2.38</v>
      </c>
      <c r="I64" s="124"/>
      <c r="J64" s="129">
        <f t="shared" ref="J64:J70" si="74">H64-I64-G64</f>
        <v>2.04</v>
      </c>
      <c r="K64" s="130">
        <f t="shared" ref="K64:K71" si="75">J64/F64</f>
        <v>0.01793248945</v>
      </c>
      <c r="L64" s="130">
        <f t="shared" ref="L64:L71" si="76">J64/F64/(TODAY()-B64)*365</f>
        <v>0.02546832159</v>
      </c>
      <c r="M64" s="157">
        <f>IFERROR(__xludf.DUMMYFUNCTION("googlefinance(C64)"),59.94)</f>
        <v>59.94</v>
      </c>
      <c r="N64" s="157">
        <f t="shared" ref="N64:N71" si="77">M64*E64</f>
        <v>119.88</v>
      </c>
      <c r="O64" s="132">
        <f t="shared" ref="O64:O71" si="78">(N64+J64-F64)/(F64+G64)</f>
        <v>0.07151621385</v>
      </c>
      <c r="P64" s="133">
        <f t="shared" ref="P64:P71" si="79">O64/(TODAY()-B64)*365</f>
        <v>0.1015697201</v>
      </c>
      <c r="Q64" s="57">
        <f t="shared" ref="Q64:Q70" si="80">today() - B64</f>
        <v>257</v>
      </c>
      <c r="R64" s="27">
        <f t="shared" ref="R64:R70" si="81">F64/SUM(F$64:F$70)</f>
        <v>0.1533691051</v>
      </c>
      <c r="S64" s="104"/>
    </row>
    <row r="65">
      <c r="B65" s="158">
        <v>44363.0</v>
      </c>
      <c r="C65" s="81" t="s">
        <v>42</v>
      </c>
      <c r="D65" s="82">
        <v>58.9</v>
      </c>
      <c r="E65" s="66">
        <v>2.0</v>
      </c>
      <c r="F65" s="83">
        <f t="shared" si="72"/>
        <v>117.8</v>
      </c>
      <c r="G65" s="82">
        <v>0.36</v>
      </c>
      <c r="H65" s="66">
        <f t="shared" si="73"/>
        <v>2.38</v>
      </c>
      <c r="I65" s="66"/>
      <c r="J65" s="37">
        <f t="shared" si="74"/>
        <v>2.02</v>
      </c>
      <c r="K65" s="38">
        <f t="shared" si="75"/>
        <v>0.01714770798</v>
      </c>
      <c r="L65" s="38">
        <f t="shared" si="76"/>
        <v>0.02503565365</v>
      </c>
      <c r="M65" s="85">
        <f>IFERROR(__xludf.DUMMYFUNCTION("googlefinance(C65)"),59.94)</f>
        <v>59.94</v>
      </c>
      <c r="N65" s="85">
        <f t="shared" si="77"/>
        <v>119.88</v>
      </c>
      <c r="O65" s="41">
        <f t="shared" si="78"/>
        <v>0.03469871361</v>
      </c>
      <c r="P65" s="135">
        <f t="shared" si="79"/>
        <v>0.05066012187</v>
      </c>
      <c r="Q65" s="57">
        <f t="shared" si="80"/>
        <v>250</v>
      </c>
      <c r="R65" s="27">
        <f t="shared" si="81"/>
        <v>0.1588157575</v>
      </c>
      <c r="S65" s="104"/>
    </row>
    <row r="66">
      <c r="B66" s="158">
        <v>44370.0</v>
      </c>
      <c r="C66" s="81" t="s">
        <v>42</v>
      </c>
      <c r="D66" s="82">
        <v>56.3</v>
      </c>
      <c r="E66" s="66">
        <v>1.0</v>
      </c>
      <c r="F66" s="83">
        <f t="shared" si="72"/>
        <v>56.3</v>
      </c>
      <c r="G66" s="82">
        <v>0.17</v>
      </c>
      <c r="H66" s="66">
        <f> 0.6 + 0.6</f>
        <v>1.2</v>
      </c>
      <c r="I66" s="66"/>
      <c r="J66" s="37">
        <f t="shared" si="74"/>
        <v>1.03</v>
      </c>
      <c r="K66" s="38">
        <f t="shared" si="75"/>
        <v>0.01829484902</v>
      </c>
      <c r="L66" s="38">
        <f t="shared" si="76"/>
        <v>0.02747991726</v>
      </c>
      <c r="M66" s="85">
        <f>IFERROR(__xludf.DUMMYFUNCTION("googlefinance(C66)"),59.94)</f>
        <v>59.94</v>
      </c>
      <c r="N66" s="85">
        <f t="shared" si="77"/>
        <v>59.94</v>
      </c>
      <c r="O66" s="41">
        <f t="shared" si="78"/>
        <v>0.08269877811</v>
      </c>
      <c r="P66" s="135">
        <f t="shared" si="79"/>
        <v>0.1242183293</v>
      </c>
      <c r="Q66" s="57">
        <f t="shared" si="80"/>
        <v>243</v>
      </c>
      <c r="R66" s="27">
        <f t="shared" si="81"/>
        <v>0.07590260738</v>
      </c>
      <c r="S66" s="104"/>
    </row>
    <row r="67">
      <c r="B67" s="158">
        <v>44377.0</v>
      </c>
      <c r="C67" s="81" t="s">
        <v>42</v>
      </c>
      <c r="D67" s="82">
        <v>57.74</v>
      </c>
      <c r="E67" s="66">
        <v>3.0</v>
      </c>
      <c r="F67" s="83">
        <f t="shared" si="72"/>
        <v>173.22</v>
      </c>
      <c r="G67" s="82">
        <v>0.51</v>
      </c>
      <c r="H67" s="66">
        <f> 1.79 + 1.79</f>
        <v>3.58</v>
      </c>
      <c r="I67" s="66"/>
      <c r="J67" s="37">
        <f t="shared" si="74"/>
        <v>3.07</v>
      </c>
      <c r="K67" s="38">
        <f t="shared" si="75"/>
        <v>0.01772312666</v>
      </c>
      <c r="L67" s="38">
        <f t="shared" si="76"/>
        <v>0.02741076793</v>
      </c>
      <c r="M67" s="85">
        <f>IFERROR(__xludf.DUMMYFUNCTION("googlefinance(C67)"),59.94)</f>
        <v>59.94</v>
      </c>
      <c r="N67" s="85">
        <f t="shared" si="77"/>
        <v>179.82</v>
      </c>
      <c r="O67" s="41">
        <f t="shared" si="78"/>
        <v>0.05566108329</v>
      </c>
      <c r="P67" s="135">
        <f t="shared" si="79"/>
        <v>0.08608599746</v>
      </c>
      <c r="Q67" s="57">
        <f t="shared" si="80"/>
        <v>236</v>
      </c>
      <c r="R67" s="27">
        <f t="shared" si="81"/>
        <v>0.2335319654</v>
      </c>
      <c r="S67" s="104"/>
    </row>
    <row r="68">
      <c r="B68" s="158">
        <v>44412.0</v>
      </c>
      <c r="C68" s="81" t="s">
        <v>42</v>
      </c>
      <c r="D68" s="82">
        <v>55.74</v>
      </c>
      <c r="E68" s="66">
        <v>3.0</v>
      </c>
      <c r="F68" s="83">
        <f t="shared" si="72"/>
        <v>167.22</v>
      </c>
      <c r="G68" s="82">
        <v>0.5</v>
      </c>
      <c r="H68" s="66">
        <f> 1.79</f>
        <v>1.79</v>
      </c>
      <c r="I68" s="66"/>
      <c r="J68" s="37">
        <f t="shared" si="74"/>
        <v>1.29</v>
      </c>
      <c r="K68" s="38">
        <f t="shared" si="75"/>
        <v>0.007714388231</v>
      </c>
      <c r="L68" s="38">
        <f t="shared" si="76"/>
        <v>0.01400871495</v>
      </c>
      <c r="M68" s="85">
        <f>IFERROR(__xludf.DUMMYFUNCTION("googlefinance(C68)"),59.94)</f>
        <v>59.94</v>
      </c>
      <c r="N68" s="85">
        <f t="shared" si="77"/>
        <v>179.82</v>
      </c>
      <c r="O68" s="41">
        <f t="shared" si="78"/>
        <v>0.08281659909</v>
      </c>
      <c r="P68" s="135">
        <f t="shared" si="79"/>
        <v>0.1503883516</v>
      </c>
      <c r="Q68" s="57">
        <f t="shared" si="80"/>
        <v>201</v>
      </c>
      <c r="R68" s="27">
        <f t="shared" si="81"/>
        <v>0.2254428776</v>
      </c>
      <c r="S68" s="104"/>
    </row>
    <row r="69">
      <c r="B69" s="158">
        <v>44440.0</v>
      </c>
      <c r="C69" s="81" t="s">
        <v>42</v>
      </c>
      <c r="D69" s="82">
        <v>58.05</v>
      </c>
      <c r="E69" s="66">
        <v>1.0</v>
      </c>
      <c r="F69" s="83">
        <f t="shared" si="72"/>
        <v>58.05</v>
      </c>
      <c r="G69" s="82">
        <v>0.17</v>
      </c>
      <c r="H69" s="66">
        <f> 0.6</f>
        <v>0.6</v>
      </c>
      <c r="I69" s="66"/>
      <c r="J69" s="37">
        <f t="shared" si="74"/>
        <v>0.43</v>
      </c>
      <c r="K69" s="38">
        <f t="shared" si="75"/>
        <v>0.007407407407</v>
      </c>
      <c r="L69" s="38">
        <f t="shared" si="76"/>
        <v>0.01562834511</v>
      </c>
      <c r="M69" s="85">
        <f>IFERROR(__xludf.DUMMYFUNCTION("googlefinance(C69)"),59.94)</f>
        <v>59.94</v>
      </c>
      <c r="N69" s="85">
        <f t="shared" si="77"/>
        <v>59.94</v>
      </c>
      <c r="O69" s="41">
        <f t="shared" si="78"/>
        <v>0.03984884919</v>
      </c>
      <c r="P69" s="135">
        <f t="shared" si="79"/>
        <v>0.08407416159</v>
      </c>
      <c r="Q69" s="57">
        <f t="shared" si="80"/>
        <v>173</v>
      </c>
      <c r="R69" s="27">
        <f t="shared" si="81"/>
        <v>0.07826192466</v>
      </c>
      <c r="S69" s="104"/>
    </row>
    <row r="70">
      <c r="B70" s="160">
        <v>44475.0</v>
      </c>
      <c r="C70" s="204" t="s">
        <v>42</v>
      </c>
      <c r="D70" s="141">
        <v>55.39</v>
      </c>
      <c r="E70" s="139">
        <v>1.0</v>
      </c>
      <c r="F70" s="140">
        <f t="shared" si="72"/>
        <v>55.39</v>
      </c>
      <c r="G70" s="141">
        <v>0.17</v>
      </c>
      <c r="H70" s="139"/>
      <c r="I70" s="139"/>
      <c r="J70" s="143">
        <f t="shared" si="74"/>
        <v>-0.17</v>
      </c>
      <c r="K70" s="144">
        <f t="shared" si="75"/>
        <v>-0.003069146055</v>
      </c>
      <c r="L70" s="144">
        <f t="shared" si="76"/>
        <v>-0.008117668914</v>
      </c>
      <c r="M70" s="162">
        <f>IFERROR(__xludf.DUMMYFUNCTION("googlefinance(C70)"),59.94)</f>
        <v>59.94</v>
      </c>
      <c r="N70" s="162">
        <f t="shared" si="77"/>
        <v>59.94</v>
      </c>
      <c r="O70" s="146">
        <f t="shared" si="78"/>
        <v>0.0788336933</v>
      </c>
      <c r="P70" s="147">
        <f t="shared" si="79"/>
        <v>0.2085094062</v>
      </c>
      <c r="Q70" s="57">
        <f t="shared" si="80"/>
        <v>138</v>
      </c>
      <c r="R70" s="27">
        <f t="shared" si="81"/>
        <v>0.0746757624</v>
      </c>
    </row>
    <row r="71">
      <c r="B71" s="148">
        <f>Q72</f>
        <v>44391</v>
      </c>
      <c r="C71" s="205" t="s">
        <v>42</v>
      </c>
      <c r="D71" s="150">
        <f>F71/E71</f>
        <v>57.05692308</v>
      </c>
      <c r="E71" s="151">
        <f t="shared" ref="E71:J71" si="82">SUM(E64:E70)</f>
        <v>13</v>
      </c>
      <c r="F71" s="150">
        <f t="shared" si="82"/>
        <v>741.74</v>
      </c>
      <c r="G71" s="150">
        <f t="shared" si="82"/>
        <v>2.22</v>
      </c>
      <c r="H71" s="151">
        <f t="shared" si="82"/>
        <v>11.93</v>
      </c>
      <c r="I71" s="151">
        <f t="shared" si="82"/>
        <v>0</v>
      </c>
      <c r="J71" s="152">
        <f t="shared" si="82"/>
        <v>9.71</v>
      </c>
      <c r="K71" s="153">
        <f t="shared" si="75"/>
        <v>0.01309084046</v>
      </c>
      <c r="L71" s="153">
        <f t="shared" si="76"/>
        <v>0.02152322868</v>
      </c>
      <c r="M71" s="150">
        <f>IFERROR(__xludf.DUMMYFUNCTION("googlefinance(C71)"),59.94)</f>
        <v>59.94</v>
      </c>
      <c r="N71" s="150">
        <f t="shared" si="77"/>
        <v>779.22</v>
      </c>
      <c r="O71" s="155">
        <f t="shared" si="78"/>
        <v>0.06343082961</v>
      </c>
      <c r="P71" s="156">
        <f t="shared" si="79"/>
        <v>0.1042894271</v>
      </c>
      <c r="Q71" s="95">
        <f>SUMPRODUCT(Q64:Q70, R64:R70)</f>
        <v>221.8362634</v>
      </c>
    </row>
    <row r="72">
      <c r="Q72" s="96">
        <f>today() - round(Q71,0)</f>
        <v>44391</v>
      </c>
    </row>
  </sheetData>
  <conditionalFormatting sqref="K3:K13 K16:K20 K23:K27 K30:K35 K38:K42 K45:K49 K52:K61 K64:K71">
    <cfRule type="colorScale" priority="1">
      <colorScale>
        <cfvo type="formula" val="0"/>
        <cfvo type="formula" val="1"/>
        <color rgb="FFFFFFFF"/>
        <color rgb="FF57BB8A"/>
      </colorScale>
    </cfRule>
  </conditionalFormatting>
  <conditionalFormatting sqref="P3:P13 P16:P20 P23:P27 P30:P35 P38:P42 P45:P49 P52:P61 P64:P71">
    <cfRule type="colorScale" priority="2">
      <colorScale>
        <cfvo type="formula" val="0"/>
        <cfvo type="formula" val="0.06"/>
        <cfvo type="formula" val="0.5"/>
        <color rgb="FFE67C73"/>
        <color rgb="FFFFFFFF"/>
        <color rgb="FF57BB8A"/>
      </colorScale>
    </cfRule>
  </conditionalFormatting>
  <conditionalFormatting sqref="O3:O13 O16:O20 O23:O27 O30:O35 O38:O42 O45:O49 O52:O61 O64:O71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L1:L13 L15:L20 L22:L27 L29:L35 L37:L42 L44:L49 L51:L61 L63:L71">
    <cfRule type="colorScale" priority="4">
      <colorScale>
        <cfvo type="formula" val="0"/>
        <cfvo type="formula" val="0.03"/>
        <cfvo type="formula" val="0.06"/>
        <color rgb="FFE67C73"/>
        <color rgb="FFFFFFFF"/>
        <color rgb="FF57BB8A"/>
      </colorScale>
    </cfRule>
  </conditionalFormatting>
  <hyperlinks>
    <hyperlink r:id="rId1" ref="C3"/>
    <hyperlink r:id="rId2" ref="C4"/>
    <hyperlink r:id="rId3" ref="C5"/>
    <hyperlink r:id="rId4" ref="C6"/>
    <hyperlink r:id="rId5" ref="C7"/>
    <hyperlink r:id="rId6" ref="C8"/>
    <hyperlink r:id="rId7" ref="C9"/>
    <hyperlink r:id="rId8" ref="C10"/>
    <hyperlink r:id="rId9" ref="C11"/>
    <hyperlink r:id="rId10" ref="C12"/>
    <hyperlink r:id="rId11" ref="C13"/>
    <hyperlink r:id="rId12" ref="C16"/>
    <hyperlink r:id="rId13" ref="C17"/>
    <hyperlink r:id="rId14" ref="C18"/>
    <hyperlink r:id="rId15" ref="C19"/>
    <hyperlink r:id="rId16" ref="C20"/>
    <hyperlink r:id="rId17" ref="C23"/>
    <hyperlink r:id="rId18" ref="C24"/>
    <hyperlink r:id="rId19" ref="C25"/>
    <hyperlink r:id="rId20" ref="C26"/>
    <hyperlink r:id="rId21" ref="C27"/>
    <hyperlink r:id="rId22" ref="C30"/>
    <hyperlink r:id="rId23" ref="C31"/>
    <hyperlink r:id="rId24" ref="C32"/>
    <hyperlink r:id="rId25" ref="C33"/>
    <hyperlink r:id="rId26" ref="C34"/>
    <hyperlink r:id="rId27" ref="C35"/>
    <hyperlink r:id="rId28" ref="C38"/>
    <hyperlink r:id="rId29" ref="C39"/>
    <hyperlink r:id="rId30" ref="C40"/>
    <hyperlink r:id="rId31" ref="C41"/>
    <hyperlink r:id="rId32" ref="C42"/>
    <hyperlink r:id="rId33" ref="C45"/>
    <hyperlink r:id="rId34" ref="C46"/>
    <hyperlink r:id="rId35" ref="C47"/>
    <hyperlink r:id="rId36" ref="C48"/>
    <hyperlink r:id="rId37" ref="C49"/>
    <hyperlink r:id="rId38" ref="C52"/>
    <hyperlink r:id="rId39" ref="C53"/>
    <hyperlink r:id="rId40" ref="C54"/>
    <hyperlink r:id="rId41" ref="C55"/>
    <hyperlink r:id="rId42" ref="C56"/>
    <hyperlink r:id="rId43" ref="C57"/>
    <hyperlink r:id="rId44" ref="C58"/>
    <hyperlink r:id="rId45" ref="C59"/>
    <hyperlink r:id="rId46" ref="C60"/>
    <hyperlink r:id="rId47" ref="C61"/>
    <hyperlink r:id="rId48" ref="C64"/>
    <hyperlink r:id="rId49" ref="C65"/>
    <hyperlink r:id="rId50" ref="C66"/>
    <hyperlink r:id="rId51" ref="C67"/>
    <hyperlink r:id="rId52" ref="C68"/>
    <hyperlink r:id="rId53" ref="C69"/>
    <hyperlink r:id="rId54" ref="C70"/>
    <hyperlink r:id="rId55" ref="C71"/>
  </hyperlinks>
  <drawing r:id="rId5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/>
    <row r="2">
      <c r="C2" s="27"/>
      <c r="G2" s="95"/>
    </row>
    <row r="3">
      <c r="C3" s="27"/>
      <c r="G3" s="95"/>
    </row>
    <row r="4">
      <c r="C4" s="27"/>
    </row>
    <row r="5">
      <c r="C5" s="27"/>
    </row>
    <row r="6">
      <c r="C6" s="27"/>
    </row>
    <row r="7">
      <c r="C7" s="27"/>
    </row>
    <row r="8">
      <c r="C8" s="27"/>
    </row>
    <row r="9">
      <c r="C9" s="27"/>
    </row>
    <row r="10">
      <c r="C10" s="27"/>
    </row>
    <row r="11">
      <c r="C11" s="27"/>
    </row>
    <row r="12"/>
    <row r="13"/>
    <row r="14"/>
    <row r="15"/>
    <row r="16"/>
    <row r="17"/>
    <row r="18"/>
    <row r="19"/>
    <row r="20"/>
    <row r="21"/>
    <row r="32">
      <c r="A32" s="231"/>
    </row>
    <row r="33">
      <c r="D33" s="27"/>
    </row>
    <row r="34">
      <c r="D34" s="27"/>
    </row>
    <row r="35">
      <c r="D35" s="27"/>
    </row>
    <row r="36">
      <c r="D36" s="27"/>
    </row>
    <row r="37">
      <c r="D37" s="27"/>
    </row>
    <row r="38">
      <c r="D38" s="27"/>
    </row>
    <row r="39">
      <c r="D39" s="27"/>
    </row>
  </sheetData>
  <hyperlinks>
    <hyperlink r:id="rId4" ref="A2"/>
    <hyperlink r:id="rId5" ref="A3"/>
    <hyperlink r:id="rId6" ref="A4"/>
    <hyperlink r:id="rId7" ref="A5"/>
    <hyperlink r:id="rId8" ref="A6"/>
    <hyperlink r:id="rId9" ref="A7"/>
    <hyperlink r:id="rId10" ref="A8"/>
    <hyperlink r:id="rId11" ref="A9"/>
    <hyperlink r:id="rId12" ref="A10"/>
    <hyperlink r:id="rId13" ref="A11"/>
    <hyperlink r:id="rId14" ref="A12"/>
    <hyperlink r:id="rId15" ref="A13"/>
    <hyperlink r:id="rId16" ref="A14"/>
    <hyperlink r:id="rId17" ref="A15"/>
    <hyperlink r:id="rId18" ref="A16"/>
    <hyperlink r:id="rId19" ref="A17"/>
    <hyperlink r:id="rId20" ref="A20"/>
  </hyperlinks>
  <drawing r:id="rId2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0"/>
    <col customWidth="1" min="2" max="2" width="9.43"/>
    <col customWidth="1" min="3" max="3" width="10.0"/>
    <col customWidth="1" min="4" max="4" width="10.71"/>
    <col customWidth="1" min="5" max="5" width="9.57"/>
    <col customWidth="1" min="6" max="6" width="10.71"/>
    <col customWidth="1" min="7" max="7" width="11.86"/>
    <col customWidth="1" min="8" max="8" width="3.43"/>
    <col customWidth="1" min="9" max="9" width="8.14"/>
    <col customWidth="1" min="10" max="10" width="12.29"/>
    <col customWidth="1" min="11" max="11" width="10.71"/>
    <col customWidth="1" min="12" max="13" width="12.29"/>
    <col customWidth="1" min="14" max="14" width="11.86"/>
    <col customWidth="1" min="15" max="15" width="6.14"/>
  </cols>
  <sheetData>
    <row r="1">
      <c r="A1" s="21"/>
      <c r="B1" s="232" t="s">
        <v>71</v>
      </c>
      <c r="C1" s="233" t="s">
        <v>72</v>
      </c>
      <c r="D1" s="234">
        <v>44510.0</v>
      </c>
      <c r="E1" s="233" t="s">
        <v>73</v>
      </c>
      <c r="F1" s="235">
        <v>44517.0</v>
      </c>
      <c r="G1" s="236"/>
      <c r="H1" s="236"/>
      <c r="I1" s="236"/>
      <c r="J1" s="237"/>
      <c r="K1" s="237"/>
      <c r="L1" s="237"/>
      <c r="M1" s="237"/>
      <c r="N1" s="233"/>
      <c r="O1" s="236"/>
    </row>
    <row r="2">
      <c r="A2" s="21"/>
      <c r="B2" s="238"/>
      <c r="C2" s="239">
        <f>ILOG!Q2</f>
        <v>1002236.146</v>
      </c>
      <c r="D2" s="240">
        <f>C2 + F2*10000</f>
        <v>1132236.146</v>
      </c>
      <c r="E2" s="241">
        <v>7.0</v>
      </c>
      <c r="F2" s="242">
        <v>13.0</v>
      </c>
      <c r="G2" s="243"/>
      <c r="H2" s="236"/>
      <c r="I2" s="244"/>
      <c r="J2" s="237"/>
      <c r="K2" s="234"/>
      <c r="L2" s="237"/>
      <c r="M2" s="245"/>
      <c r="N2" s="236"/>
      <c r="O2" s="236"/>
    </row>
    <row r="3">
      <c r="A3" s="18"/>
      <c r="B3" s="31" t="s">
        <v>22</v>
      </c>
      <c r="C3" s="240">
        <f> C2 * DIVERS!E3</f>
        <v>571458.1758</v>
      </c>
      <c r="D3" s="79">
        <f>D2*0.5</f>
        <v>566118.0729</v>
      </c>
      <c r="E3" s="79">
        <f t="shared" ref="E3:E4" si="2">D3-C3</f>
        <v>-5340.1029</v>
      </c>
      <c r="F3" s="79">
        <f>E3/F2</f>
        <v>-410.7771462</v>
      </c>
      <c r="G3" s="246">
        <f>IFERROR(__xludf.DUMMYFUNCTION(" F3 / GoogleFinance(""Currency:USDRUB"")"),-5.250353359669974)</f>
        <v>-5.25035336</v>
      </c>
      <c r="H3" s="236"/>
      <c r="I3" s="237"/>
      <c r="J3" s="247"/>
      <c r="K3" s="236"/>
      <c r="L3" s="236"/>
      <c r="M3" s="236"/>
      <c r="N3" s="232"/>
      <c r="O3" s="236"/>
    </row>
    <row r="4">
      <c r="A4" s="18"/>
      <c r="B4" s="31" t="s">
        <v>21</v>
      </c>
      <c r="C4" s="240">
        <f t="shared" ref="C4:D4" si="1">C2-C3</f>
        <v>430777.97</v>
      </c>
      <c r="D4" s="240">
        <f t="shared" si="1"/>
        <v>566118.0729</v>
      </c>
      <c r="E4" s="79">
        <f t="shared" si="2"/>
        <v>135340.1029</v>
      </c>
      <c r="F4" s="79">
        <f>E4/F2</f>
        <v>10410.77715</v>
      </c>
      <c r="G4" s="245"/>
      <c r="H4" s="236"/>
      <c r="I4" s="236"/>
      <c r="J4" s="236"/>
      <c r="K4" s="236"/>
      <c r="L4" s="248"/>
      <c r="M4" s="236"/>
      <c r="N4" s="232"/>
      <c r="O4" s="236"/>
    </row>
    <row r="5">
      <c r="A5" s="18"/>
      <c r="B5" s="232" t="s">
        <v>74</v>
      </c>
      <c r="C5" s="233"/>
      <c r="D5" s="233"/>
      <c r="E5" s="236"/>
      <c r="F5" s="249"/>
      <c r="G5" s="236"/>
      <c r="H5" s="236"/>
      <c r="I5" s="236"/>
      <c r="J5" s="236"/>
      <c r="K5" s="233"/>
      <c r="L5" s="236"/>
      <c r="M5" s="236"/>
      <c r="N5" s="232"/>
      <c r="O5" s="236"/>
    </row>
    <row r="6">
      <c r="B6" s="31" t="s">
        <v>4</v>
      </c>
      <c r="C6" s="31" t="s">
        <v>18</v>
      </c>
      <c r="D6" s="31" t="s">
        <v>75</v>
      </c>
      <c r="E6" s="31" t="s">
        <v>76</v>
      </c>
      <c r="F6" s="31" t="s">
        <v>77</v>
      </c>
      <c r="G6" s="31" t="s">
        <v>78</v>
      </c>
      <c r="H6" s="245"/>
      <c r="I6" s="31" t="s">
        <v>4</v>
      </c>
      <c r="J6" s="31" t="s">
        <v>18</v>
      </c>
      <c r="K6" s="31" t="s">
        <v>75</v>
      </c>
      <c r="L6" s="31" t="s">
        <v>76</v>
      </c>
      <c r="M6" s="31" t="s">
        <v>77</v>
      </c>
      <c r="N6" s="31" t="s">
        <v>78</v>
      </c>
      <c r="O6" s="31" t="s">
        <v>79</v>
      </c>
    </row>
    <row r="7">
      <c r="A7" s="18"/>
      <c r="B7" s="31" t="s">
        <v>35</v>
      </c>
      <c r="C7" s="250">
        <f>IFERROR(__xludf.DUMMYFUNCTION(" GOOGLEFINANCE(B7) * 7"),1008.21)</f>
        <v>1008.21</v>
      </c>
      <c r="D7" s="38">
        <f t="shared" ref="D7:D16" si="3">C7/C$16</f>
        <v>0.1380334333</v>
      </c>
      <c r="E7" s="251">
        <f t="shared" ref="E7:E14" si="4">(E$16-E$15)/8</f>
        <v>867.361875</v>
      </c>
      <c r="F7" s="251">
        <f t="shared" ref="F7:F15" si="5">E7-C7</f>
        <v>-140.848125</v>
      </c>
      <c r="G7" s="246">
        <f>IFERROR(__xludf.DUMMYFUNCTION("IF(F7&gt;0, F7/GOOGLEFINANCE(B7), 0)"),0.0)</f>
        <v>0</v>
      </c>
      <c r="H7" s="237"/>
      <c r="I7" s="252" t="s">
        <v>65</v>
      </c>
      <c r="J7" s="253">
        <f>IFERROR(__xludf.DUMMYFUNCTION("3 * SUBSTITUTE(ImportHTML(""http://iss.moex.com/iss/engines/stock/markets/shares/boards/TQBR/securities.html?securities=GMKN&amp;marketdata.columns=LAST&amp;iss.meta=off&amp;iss.only=marketdata"",""table"",1), ""."", "","")"),61362.0)</f>
        <v>61362</v>
      </c>
      <c r="K7" s="38">
        <f t="shared" ref="K7:K16" si="6">J7/J$16</f>
        <v>0.1458815355</v>
      </c>
      <c r="L7" s="254">
        <f t="shared" ref="L7:L14" si="7">(L$16-L$15)/8</f>
        <v>49949.69019</v>
      </c>
      <c r="M7" s="254">
        <f t="shared" ref="M7:M15" si="8">L7-J7</f>
        <v>-11412.30981</v>
      </c>
      <c r="N7" s="83">
        <f>IFERROR(__xludf.DUMMYFUNCTION("M7/SUBSTITUTE(ImportHTML(""http://iss.moex.com/iss/engines/stock/markets/shares/boards/TQBR/securities.html?securities=GMKN&amp;marketdata.columns=LAST&amp;iss.meta=off&amp;iss.only=marketdata"",""table"",1), ""."", "","")"),-0.5579500250562239)</f>
        <v>-0.5579500251</v>
      </c>
      <c r="O7" s="246">
        <f t="shared" ref="O7:O8" si="9">IF(M7&lt;0, 0, N7/1)</f>
        <v>0</v>
      </c>
    </row>
    <row r="8">
      <c r="A8" s="18"/>
      <c r="B8" s="31" t="s">
        <v>31</v>
      </c>
      <c r="C8" s="250">
        <f>IFERROR(__xludf.DUMMYFUNCTION(" GOOGLEFINANCE(B8) * 32"),763.84)</f>
        <v>763.84</v>
      </c>
      <c r="D8" s="38">
        <f t="shared" si="3"/>
        <v>0.1045768815</v>
      </c>
      <c r="E8" s="251">
        <f t="shared" si="4"/>
        <v>867.361875</v>
      </c>
      <c r="F8" s="251">
        <f t="shared" si="5"/>
        <v>103.521875</v>
      </c>
      <c r="G8" s="246">
        <f>IFERROR(__xludf.DUMMYFUNCTION("IF(F8&gt;0, F8/GOOGLEFINANCE(B8), 0)"),4.336903016338496)</f>
        <v>4.336903016</v>
      </c>
      <c r="H8" s="237"/>
      <c r="I8" s="252" t="s">
        <v>66</v>
      </c>
      <c r="J8" s="253">
        <f>IFERROR(__xludf.DUMMYFUNCTION("71 * SUBSTITUTE(ImportHTML(""http://iss.moex.com/iss/engines/stock/markets/shares/boards/TQBR/securities.html?securities=LSRG&amp;marketdata.columns=LAST&amp;iss.meta=off&amp;iss.only=marketdata"",""table"",1), ""."", "","")"),51872.6)</f>
        <v>51872.6</v>
      </c>
      <c r="K8" s="38">
        <f t="shared" si="6"/>
        <v>0.1233215106</v>
      </c>
      <c r="L8" s="254">
        <f t="shared" si="7"/>
        <v>49949.69019</v>
      </c>
      <c r="M8" s="254">
        <f t="shared" si="8"/>
        <v>-1922.909813</v>
      </c>
      <c r="N8" s="83">
        <f>IFERROR(__xludf.DUMMYFUNCTION("M8/SUBSTITUTE(ImportHTML(""http://iss.moex.com/iss/engines/stock/markets/shares/boards/TQBR/securities.html?securities=LSRG&amp;marketdata.columns=LAST&amp;iss.meta=off&amp;iss.only=marketdata"",""table"",1), ""."", "","")"),-2.631959776211336)</f>
        <v>-2.631959776</v>
      </c>
      <c r="O8" s="246">
        <f t="shared" si="9"/>
        <v>0</v>
      </c>
      <c r="P8" s="18"/>
    </row>
    <row r="9">
      <c r="A9" s="18"/>
      <c r="B9" s="31" t="s">
        <v>33</v>
      </c>
      <c r="C9" s="250">
        <f>IFERROR(__xludf.DUMMYFUNCTION(" GOOGLEFINANCE(B9) * 13"),1005.68)</f>
        <v>1005.68</v>
      </c>
      <c r="D9" s="38">
        <f t="shared" si="3"/>
        <v>0.1376870525</v>
      </c>
      <c r="E9" s="251">
        <f t="shared" si="4"/>
        <v>867.361875</v>
      </c>
      <c r="F9" s="251">
        <f t="shared" si="5"/>
        <v>-138.318125</v>
      </c>
      <c r="G9" s="246">
        <f>IFERROR(__xludf.DUMMYFUNCTION("IF(F9&gt;0, F9/GOOGLEFINANCE(B9), 0)"),0.0)</f>
        <v>0</v>
      </c>
      <c r="H9" s="245"/>
      <c r="I9" s="252" t="s">
        <v>34</v>
      </c>
      <c r="J9" s="253">
        <f>IFERROR(__xludf.DUMMYFUNCTION("200000 * SUBSTITUTE(ImportHTML(""http://iss.moex.com/iss/engines/stock/markets/shares/boards/TQBR/securities.html?securities=MRKP&amp;marketdata.columns=LAST&amp;iss.meta=off&amp;iss.only=marketdata"",""table"",1), ""."", "","")"),40160.0)</f>
        <v>40160</v>
      </c>
      <c r="K9" s="38">
        <f t="shared" si="6"/>
        <v>0.09547606766</v>
      </c>
      <c r="L9" s="254">
        <f t="shared" si="7"/>
        <v>49949.69019</v>
      </c>
      <c r="M9" s="254">
        <f t="shared" si="8"/>
        <v>9789.690188</v>
      </c>
      <c r="N9" s="83">
        <f>IFERROR(__xludf.DUMMYFUNCTION("M9/SUBSTITUTE(ImportHTML(""http://iss.moex.com/iss/engines/stock/markets/shares/boards/TQBR/securities.html?securities=MRKP&amp;marketdata.columns=LAST&amp;iss.meta=off&amp;iss.only=marketdata"",""table"",1), ""."", "","")"),48753.437188745)</f>
        <v>48753.43719</v>
      </c>
      <c r="O9" s="246">
        <f>IF(M9&lt;0, 0, N9/10000)</f>
        <v>4.875343719</v>
      </c>
      <c r="P9" s="18"/>
    </row>
    <row r="10">
      <c r="A10" s="18"/>
      <c r="B10" s="31" t="s">
        <v>37</v>
      </c>
      <c r="C10" s="250">
        <f>IFERROR(__xludf.DUMMYFUNCTION(" GOOGLEFINANCE(B10) * 14"),875.56)</f>
        <v>875.56</v>
      </c>
      <c r="D10" s="38">
        <f t="shared" si="3"/>
        <v>0.1198724004</v>
      </c>
      <c r="E10" s="251">
        <f t="shared" si="4"/>
        <v>867.361875</v>
      </c>
      <c r="F10" s="251">
        <f t="shared" si="5"/>
        <v>-8.198125</v>
      </c>
      <c r="G10" s="246">
        <f>IFERROR(__xludf.DUMMYFUNCTION("IF(F10&gt;0, F10/GOOGLEFINANCE(B10), 0)"),0.0)</f>
        <v>0</v>
      </c>
      <c r="H10" s="245"/>
      <c r="I10" s="252" t="s">
        <v>68</v>
      </c>
      <c r="J10" s="253">
        <f>IFERROR(__xludf.DUMMYFUNCTION("170 * SUBSTITUTE(ImportHTML(""http://iss.moex.com/iss/engines/stock/markets/shares/boards/TQBR/securities.html?securities=MTSS&amp;marketdata.columns=LAST&amp;iss.meta=off&amp;iss.only=marketdata"",""table"",1), ""."", "","")"),44370.0)</f>
        <v>44370</v>
      </c>
      <c r="K10" s="38">
        <f t="shared" si="6"/>
        <v>0.1054848885</v>
      </c>
      <c r="L10" s="254">
        <f t="shared" si="7"/>
        <v>49949.69019</v>
      </c>
      <c r="M10" s="254">
        <f t="shared" si="8"/>
        <v>5579.690188</v>
      </c>
      <c r="N10" s="83">
        <f>IFERROR(__xludf.DUMMYFUNCTION("M10/SUBSTITUTE(ImportHTML(""http://iss.moex.com/iss/engines/stock/markets/shares/boards/TQBR/securities.html?securities=MTSS&amp;marketdata.columns=LAST&amp;iss.meta=off&amp;iss.only=marketdata"",""table"",1), ""."", "","")"),21.378123323754778)</f>
        <v>21.37812332</v>
      </c>
      <c r="O10" s="246">
        <f>IF(M10&lt;0, 0, N10/10)</f>
        <v>2.137812332</v>
      </c>
      <c r="P10" s="255"/>
    </row>
    <row r="11">
      <c r="A11" s="18"/>
      <c r="B11" s="31" t="s">
        <v>39</v>
      </c>
      <c r="C11" s="250">
        <f>IFERROR(__xludf.DUMMYFUNCTION(" GOOGLEFINANCE(B11) * 6"),746.0999999999999)</f>
        <v>746.1</v>
      </c>
      <c r="D11" s="38">
        <f t="shared" si="3"/>
        <v>0.1021481086</v>
      </c>
      <c r="E11" s="251">
        <f t="shared" si="4"/>
        <v>867.361875</v>
      </c>
      <c r="F11" s="256">
        <f t="shared" si="5"/>
        <v>121.261875</v>
      </c>
      <c r="G11" s="246">
        <f>IFERROR(__xludf.DUMMYFUNCTION("IF(F11&gt;0, F11/GOOGLEFINANCE(B11), 0)"),0.9751658624849219)</f>
        <v>0.9751658625</v>
      </c>
      <c r="H11" s="245"/>
      <c r="I11" s="257" t="s">
        <v>64</v>
      </c>
      <c r="J11" s="258">
        <f>IFERROR(__xludf.DUMMYFUNCTION(" 11 * SUBSTITUTE(ImportHTML(""http://iss.moex.com/iss/engines/stock/markets/shares/boards/TQBR/securities.html?securities=PHOR&amp;marketdata.columns=LAST&amp;iss.meta=off&amp;iss.only=marketdata"",""table"",1), ""."", "","")"),64273.0)</f>
        <v>64273</v>
      </c>
      <c r="K11" s="259">
        <f t="shared" si="6"/>
        <v>0.1528021239</v>
      </c>
      <c r="L11" s="254">
        <f t="shared" si="7"/>
        <v>49949.69019</v>
      </c>
      <c r="M11" s="260">
        <f t="shared" si="8"/>
        <v>-14323.30981</v>
      </c>
      <c r="N11" s="261">
        <f>IFERROR(__xludf.DUMMYFUNCTION("M11/SUBSTITUTE(ImportHTML(""http://iss.moex.com/iss/engines/stock/markets/shares/boards/TQBR/securities.html?securities=PHOR&amp;marketdata.columns=LAST&amp;iss.meta=off&amp;iss.only=marketdata"",""table"",1), ""."", "","")"),-2.451362281790177)</f>
        <v>-2.451362282</v>
      </c>
      <c r="O11" s="262">
        <f>IF(M11&lt;0, 0, N11/1)</f>
        <v>0</v>
      </c>
      <c r="P11" s="255"/>
    </row>
    <row r="12">
      <c r="A12" s="18"/>
      <c r="B12" s="31" t="s">
        <v>40</v>
      </c>
      <c r="C12" s="250">
        <f>IFERROR(__xludf.DUMMYFUNCTION(" GOOGLEFINANCE(B12) * 8"),892.88)</f>
        <v>892.88</v>
      </c>
      <c r="D12" s="38">
        <f t="shared" si="3"/>
        <v>0.1222436714</v>
      </c>
      <c r="E12" s="251">
        <f t="shared" si="4"/>
        <v>867.361875</v>
      </c>
      <c r="F12" s="256">
        <f t="shared" si="5"/>
        <v>-25.518125</v>
      </c>
      <c r="G12" s="246">
        <f>IFERROR(__xludf.DUMMYFUNCTION("IF(F12&gt;0, F12/GOOGLEFINANCE(B12), 0)"),0.0)</f>
        <v>0</v>
      </c>
      <c r="H12" s="237"/>
      <c r="I12" s="252" t="s">
        <v>69</v>
      </c>
      <c r="J12" s="253">
        <f>IFERROR(__xludf.DUMMYFUNCTION(" 160 * SUBSTITUTE(ImportHTML(""http://iss.moex.com/iss/engines/stock/markets/shares/boards/TQBR/securities.html?securities=SBERP&amp;marketdata.columns=LAST&amp;iss.meta=off&amp;iss.only=marketdata"",""table"",1), ""."", "","")"),35302.399999999994)</f>
        <v>35302.4</v>
      </c>
      <c r="K12" s="38">
        <f t="shared" si="6"/>
        <v>0.08392764768</v>
      </c>
      <c r="L12" s="254">
        <f t="shared" si="7"/>
        <v>49949.69019</v>
      </c>
      <c r="M12" s="254">
        <f t="shared" si="8"/>
        <v>14647.29019</v>
      </c>
      <c r="N12" s="83">
        <f>IFERROR(__xludf.DUMMYFUNCTION("M12/SUBSTITUTE(ImportHTML(""http://iss.moex.com/iss/engines/stock/markets/shares/boards/TQBR/securities.html?securities=SBERP&amp;marketdata.columns=LAST&amp;iss.meta=off&amp;iss.only=marketdata"",""table"",1), ""."", "","")"),66.38547039294781)</f>
        <v>66.38547039</v>
      </c>
      <c r="O12" s="246">
        <f>IF(M12&lt;0, 0, N12/10)</f>
        <v>6.638547039</v>
      </c>
      <c r="P12" s="263"/>
      <c r="R12" s="263"/>
      <c r="S12" s="263"/>
      <c r="T12" s="263"/>
      <c r="U12" s="263"/>
      <c r="V12" s="263"/>
      <c r="W12" s="264"/>
    </row>
    <row r="13">
      <c r="B13" s="31" t="s">
        <v>41</v>
      </c>
      <c r="C13" s="250">
        <f>IFERROR(__xludf.DUMMYFUNCTION(" GOOGLEFINANCE(B13) * 50"),792.5)</f>
        <v>792.5</v>
      </c>
      <c r="D13" s="38">
        <f t="shared" si="3"/>
        <v>0.1085007051</v>
      </c>
      <c r="E13" s="251">
        <f t="shared" si="4"/>
        <v>867.361875</v>
      </c>
      <c r="F13" s="256">
        <f t="shared" si="5"/>
        <v>74.861875</v>
      </c>
      <c r="G13" s="246">
        <f>IFERROR(__xludf.DUMMYFUNCTION("IF(F13&gt;0, F13/GOOGLEFINANCE(B13), 0)"),4.723146687697157)</f>
        <v>4.723146688</v>
      </c>
      <c r="H13" s="237"/>
      <c r="I13" s="252" t="s">
        <v>67</v>
      </c>
      <c r="J13" s="253">
        <f>IFERROR(__xludf.DUMMYFUNCTION(" (102+14) * SUBSTITUTE(ImportHTML(""http://iss.moex.com/iss/engines/stock/markets/shares/boards/TQBR/securities.html?securities=TATNP&amp;marketdata.columns=LAST&amp;iss.meta=off&amp;iss.only=marketdata"",""table"",1), ""."", "","")"),47281.600000000006)</f>
        <v>47281.6</v>
      </c>
      <c r="K13" s="38">
        <f t="shared" si="6"/>
        <v>0.1124069034</v>
      </c>
      <c r="L13" s="254">
        <f t="shared" si="7"/>
        <v>49949.69019</v>
      </c>
      <c r="M13" s="265">
        <f t="shared" si="8"/>
        <v>2668.090187</v>
      </c>
      <c r="N13" s="83">
        <f>IFERROR(__xludf.DUMMYFUNCTION("M13/SUBSTITUTE(ImportHTML(""http://iss.moex.com/iss/engines/stock/markets/shares/boards/TQBR/securities.html?securities=TATNP&amp;marketdata.columns=LAST&amp;iss.meta=off&amp;iss.only=marketdata"",""table"",1), ""."", "","")"),6.545854238223726)</f>
        <v>6.545854238</v>
      </c>
      <c r="O13" s="246">
        <f t="shared" ref="O13:O14" si="10">IF(M13&lt;0, 0, N13/1)</f>
        <v>6.545854238</v>
      </c>
      <c r="P13" s="255"/>
    </row>
    <row r="14">
      <c r="B14" s="31" t="s">
        <v>42</v>
      </c>
      <c r="C14" s="250">
        <f>IFERROR(__xludf.DUMMYFUNCTION(" GOOGLEFINANCE(B14) * 13"),779.22)</f>
        <v>779.22</v>
      </c>
      <c r="D14" s="38">
        <f t="shared" si="3"/>
        <v>0.1066825482</v>
      </c>
      <c r="E14" s="251">
        <f t="shared" si="4"/>
        <v>867.361875</v>
      </c>
      <c r="F14" s="256">
        <f t="shared" si="5"/>
        <v>88.141875</v>
      </c>
      <c r="G14" s="246">
        <f>IFERROR(__xludf.DUMMYFUNCTION("IF(F14&gt;0, F14/GOOGLEFINANCE(B14), 0)"),1.4705017517517505)</f>
        <v>1.470501752</v>
      </c>
      <c r="H14" s="237"/>
      <c r="I14" s="266" t="s">
        <v>43</v>
      </c>
      <c r="J14" s="258">
        <f>IFERROR(__xludf.DUMMYFUNCTION(" 40 * SUBSTITUTE(ImportHTML(""http://iss.moex.com/iss/engines/stock/markets/shares/boards/TQBR/securities.html?securities=POLY&amp;marketdata.columns=LAST&amp;iss.meta=off&amp;iss.only=marketdata"",""table"",1), ""."", "","")"),46632.0)</f>
        <v>46632</v>
      </c>
      <c r="K14" s="259">
        <f t="shared" si="6"/>
        <v>0.1108625495</v>
      </c>
      <c r="L14" s="254">
        <f t="shared" si="7"/>
        <v>49949.69019</v>
      </c>
      <c r="M14" s="260">
        <f t="shared" si="8"/>
        <v>3317.690188</v>
      </c>
      <c r="N14" s="261">
        <f>IFERROR(__xludf.DUMMYFUNCTION("M14/SUBSTITUTE(ImportHTML(""http://iss.moex.com/iss/engines/stock/markets/shares/boards/TQBR/securities.html?securities=POLY&amp;marketdata.columns=LAST&amp;iss.meta=off&amp;iss.only=marketdata"",""table"",1), ""."", "","")"),2.8458485053182336)</f>
        <v>2.845848505</v>
      </c>
      <c r="O14" s="262">
        <f t="shared" si="10"/>
        <v>2.845848505</v>
      </c>
      <c r="P14" s="255"/>
    </row>
    <row r="15">
      <c r="B15" s="267" t="s">
        <v>80</v>
      </c>
      <c r="C15" s="268">
        <f> 437.41+2.7</f>
        <v>440.11</v>
      </c>
      <c r="D15" s="269">
        <f t="shared" si="3"/>
        <v>0.06025519913</v>
      </c>
      <c r="E15" s="270">
        <f> 0.05 * E16</f>
        <v>365.205</v>
      </c>
      <c r="F15" s="271">
        <f t="shared" si="5"/>
        <v>-74.905</v>
      </c>
      <c r="G15" s="245"/>
      <c r="H15" s="245"/>
      <c r="I15" s="267" t="s">
        <v>80</v>
      </c>
      <c r="J15" s="272">
        <f> 1652.36 + 27723.01</f>
        <v>29375.37</v>
      </c>
      <c r="K15" s="269">
        <f t="shared" si="6"/>
        <v>0.06983677325</v>
      </c>
      <c r="L15" s="273">
        <f> 0.05 * L16</f>
        <v>21031.4485</v>
      </c>
      <c r="M15" s="274">
        <f t="shared" si="8"/>
        <v>-8343.9215</v>
      </c>
      <c r="N15" s="275"/>
      <c r="O15" s="276"/>
    </row>
    <row r="16">
      <c r="B16" s="277" t="s">
        <v>81</v>
      </c>
      <c r="C16" s="278">
        <f>sum(C7:C15)</f>
        <v>7304.1</v>
      </c>
      <c r="D16" s="279">
        <f t="shared" si="3"/>
        <v>1</v>
      </c>
      <c r="E16" s="278">
        <f>C16</f>
        <v>7304.1</v>
      </c>
      <c r="F16" s="245"/>
      <c r="G16" s="245"/>
      <c r="H16" s="245"/>
      <c r="I16" s="277" t="s">
        <v>81</v>
      </c>
      <c r="J16" s="280">
        <f>SUM(J7:J15)</f>
        <v>420628.97</v>
      </c>
      <c r="K16" s="279">
        <f t="shared" si="6"/>
        <v>1</v>
      </c>
      <c r="L16" s="280">
        <f>J16</f>
        <v>420628.97</v>
      </c>
      <c r="M16" s="281"/>
      <c r="N16" s="245"/>
      <c r="O16" s="236"/>
    </row>
    <row r="17">
      <c r="A17" s="282"/>
      <c r="B17" s="283" t="s">
        <v>82</v>
      </c>
      <c r="C17" s="245"/>
      <c r="D17" s="245"/>
      <c r="E17" s="245"/>
      <c r="F17" s="245"/>
      <c r="I17" s="283" t="s">
        <v>82</v>
      </c>
      <c r="N17" s="245"/>
      <c r="O17" s="236"/>
    </row>
    <row r="18">
      <c r="A18" s="284"/>
      <c r="C18" s="285"/>
      <c r="G18" s="286"/>
    </row>
    <row r="19">
      <c r="A19" s="284"/>
      <c r="C19" s="285"/>
      <c r="G19" s="286"/>
      <c r="I19" s="287"/>
      <c r="N19" s="288"/>
    </row>
    <row r="20">
      <c r="A20" s="284"/>
      <c r="E20" s="288"/>
      <c r="G20" s="286"/>
      <c r="N20" s="288"/>
    </row>
    <row r="21">
      <c r="A21" s="282"/>
      <c r="E21" s="288"/>
      <c r="N21" s="288"/>
    </row>
    <row r="22">
      <c r="A22" s="284"/>
      <c r="E22" s="288"/>
      <c r="G22" s="286"/>
      <c r="L22" s="288"/>
    </row>
    <row r="23">
      <c r="A23" s="282"/>
      <c r="E23" s="288"/>
      <c r="L23" s="288"/>
    </row>
    <row r="24">
      <c r="A24" s="284"/>
      <c r="B24" s="284"/>
      <c r="G24" s="286"/>
      <c r="K24" s="95"/>
      <c r="M24" s="27"/>
    </row>
    <row r="25">
      <c r="K25" s="95"/>
      <c r="M25" s="27"/>
    </row>
    <row r="26">
      <c r="B26" s="18" t="s">
        <v>83</v>
      </c>
      <c r="E26" s="18" t="s">
        <v>84</v>
      </c>
      <c r="K26" s="95"/>
      <c r="M26" s="27"/>
    </row>
    <row r="27">
      <c r="A27" s="18">
        <v>1.0</v>
      </c>
      <c r="B27" s="18">
        <v>2500.0</v>
      </c>
      <c r="C27" s="18">
        <v>2.0</v>
      </c>
      <c r="D27" s="57">
        <f t="shared" ref="D27:D28" si="11">B27*C27</f>
        <v>5000</v>
      </c>
      <c r="E27" s="57">
        <f t="shared" ref="E27:E28" si="12"> 10000 - B27</f>
        <v>7500</v>
      </c>
      <c r="K27" s="95"/>
      <c r="M27" s="27"/>
    </row>
    <row r="28">
      <c r="A28" s="18">
        <v>2.0</v>
      </c>
      <c r="B28" s="18">
        <v>3000.0</v>
      </c>
      <c r="C28" s="57">
        <f>17-C27</f>
        <v>15</v>
      </c>
      <c r="D28" s="57">
        <f t="shared" si="11"/>
        <v>45000</v>
      </c>
      <c r="E28" s="57">
        <f t="shared" si="12"/>
        <v>7000</v>
      </c>
    </row>
    <row r="29">
      <c r="B29" s="1">
        <v>2021.0</v>
      </c>
      <c r="D29" s="57">
        <f>D27+D28</f>
        <v>50000</v>
      </c>
    </row>
    <row r="30">
      <c r="B30" s="18" t="s">
        <v>83</v>
      </c>
      <c r="E30" s="18" t="s">
        <v>84</v>
      </c>
    </row>
    <row r="31">
      <c r="A31" s="18">
        <v>2.0</v>
      </c>
      <c r="B31" s="18">
        <v>7500.0</v>
      </c>
      <c r="C31" s="18">
        <v>32.0</v>
      </c>
      <c r="D31" s="57">
        <f>B31*C31</f>
        <v>240000</v>
      </c>
      <c r="E31" s="57">
        <f t="shared" ref="E31:E32" si="13">11000-B31</f>
        <v>3500</v>
      </c>
    </row>
    <row r="32">
      <c r="A32" s="18">
        <v>1.0</v>
      </c>
      <c r="B32" s="18">
        <v>8000.0</v>
      </c>
      <c r="C32" s="57">
        <f> 52 - C31</f>
        <v>20</v>
      </c>
      <c r="D32" s="57">
        <f> B32*C32</f>
        <v>160000</v>
      </c>
      <c r="E32" s="57">
        <f t="shared" si="13"/>
        <v>3000</v>
      </c>
    </row>
    <row r="33">
      <c r="B33" s="1">
        <v>2022.0</v>
      </c>
      <c r="D33" s="57">
        <f>D31+D32</f>
        <v>400000</v>
      </c>
    </row>
  </sheetData>
  <mergeCells count="2">
    <mergeCell ref="B29:C29"/>
    <mergeCell ref="B33:C33"/>
  </mergeCells>
  <conditionalFormatting sqref="F7:F14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7:M14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0.43"/>
    <col customWidth="1" min="2" max="2" width="5.43"/>
    <col customWidth="1" min="3" max="3" width="9.43"/>
    <col customWidth="1" min="4" max="4" width="9.14"/>
    <col customWidth="1" min="5" max="5" width="6.43"/>
    <col customWidth="1" min="6" max="6" width="8.29"/>
    <col customWidth="1" min="7" max="7" width="11.57"/>
    <col customWidth="1" min="8" max="8" width="11.86"/>
    <col customWidth="1" min="9" max="9" width="8.29"/>
    <col customWidth="1" min="10" max="10" width="8.43"/>
    <col customWidth="1" min="11" max="11" width="12.0"/>
    <col customWidth="1" min="12" max="12" width="10.57"/>
  </cols>
  <sheetData>
    <row r="1">
      <c r="A1" s="18" t="s">
        <v>85</v>
      </c>
      <c r="B1" s="18" t="s">
        <v>1</v>
      </c>
      <c r="C1" s="18" t="s">
        <v>86</v>
      </c>
      <c r="D1" s="18" t="s">
        <v>87</v>
      </c>
      <c r="E1" s="18" t="s">
        <v>88</v>
      </c>
      <c r="F1" s="18" t="s">
        <v>89</v>
      </c>
      <c r="G1" s="18" t="s">
        <v>90</v>
      </c>
      <c r="H1" s="18" t="s">
        <v>91</v>
      </c>
      <c r="I1" s="18" t="s">
        <v>92</v>
      </c>
      <c r="J1" s="18" t="s">
        <v>93</v>
      </c>
      <c r="K1" s="1" t="s">
        <v>94</v>
      </c>
      <c r="L1" s="18" t="s">
        <v>95</v>
      </c>
    </row>
    <row r="2">
      <c r="A2" s="21">
        <v>43466.0</v>
      </c>
      <c r="B2" s="1">
        <v>31.0</v>
      </c>
      <c r="C2" s="289">
        <f t="shared" ref="C2:C13" si="1">sum(B$2:B2)</f>
        <v>31</v>
      </c>
      <c r="D2" s="1">
        <f>250+226-59</f>
        <v>417</v>
      </c>
      <c r="E2" s="289">
        <f t="shared" ref="E2:E13" si="2">sum(D$2:D2)</f>
        <v>417</v>
      </c>
      <c r="F2" s="289">
        <f t="shared" ref="F2:F13" si="3">average(D$2:D2)</f>
        <v>417</v>
      </c>
      <c r="G2" s="290">
        <f t="shared" ref="G2:G37" si="4">E2/C2/1000</f>
        <v>0.0134516129</v>
      </c>
      <c r="H2" s="289">
        <f t="shared" ref="H2:H13" si="5">average(D$2:D2)</f>
        <v>417</v>
      </c>
      <c r="I2" s="289">
        <f t="shared" ref="I2:I37" si="6">AVERAGE(D$2:D2)</f>
        <v>417</v>
      </c>
      <c r="J2" s="290">
        <f t="shared" ref="J2:J37" si="7"> H2/100000</f>
        <v>0.00417</v>
      </c>
      <c r="K2" s="291">
        <v>0.0</v>
      </c>
      <c r="L2" s="291">
        <v>0.0</v>
      </c>
    </row>
    <row r="3">
      <c r="A3" s="21">
        <v>43497.0</v>
      </c>
      <c r="B3" s="1">
        <v>28.0</v>
      </c>
      <c r="C3" s="289">
        <f t="shared" si="1"/>
        <v>59</v>
      </c>
      <c r="D3" s="1">
        <f>256.03+413-59</f>
        <v>610.03</v>
      </c>
      <c r="E3" s="289">
        <f t="shared" si="2"/>
        <v>1027.03</v>
      </c>
      <c r="F3" s="289">
        <f t="shared" si="3"/>
        <v>513.515</v>
      </c>
      <c r="G3" s="290">
        <f t="shared" si="4"/>
        <v>0.01740728814</v>
      </c>
      <c r="H3" s="289">
        <f t="shared" si="5"/>
        <v>513.515</v>
      </c>
      <c r="I3" s="289">
        <f t="shared" si="6"/>
        <v>513.515</v>
      </c>
      <c r="J3" s="290">
        <f t="shared" si="7"/>
        <v>0.00513515</v>
      </c>
      <c r="K3" s="290">
        <f t="shared" ref="K3:K37" si="8">(H3-H2)/H2</f>
        <v>0.2314508393</v>
      </c>
      <c r="L3" s="291">
        <v>0.0</v>
      </c>
    </row>
    <row r="4">
      <c r="A4" s="21">
        <v>43525.0</v>
      </c>
      <c r="B4" s="1">
        <v>31.0</v>
      </c>
      <c r="C4" s="289">
        <f t="shared" si="1"/>
        <v>90</v>
      </c>
      <c r="D4" s="1">
        <f>232.46+583-59</f>
        <v>756.46</v>
      </c>
      <c r="E4" s="289">
        <f t="shared" si="2"/>
        <v>1783.49</v>
      </c>
      <c r="F4" s="289">
        <f t="shared" si="3"/>
        <v>594.4966667</v>
      </c>
      <c r="G4" s="290">
        <f t="shared" si="4"/>
        <v>0.01981655556</v>
      </c>
      <c r="H4" s="289">
        <f t="shared" si="5"/>
        <v>594.4966667</v>
      </c>
      <c r="I4" s="289">
        <f t="shared" si="6"/>
        <v>594.4966667</v>
      </c>
      <c r="J4" s="290">
        <f t="shared" si="7"/>
        <v>0.005944966667</v>
      </c>
      <c r="K4" s="290">
        <f t="shared" si="8"/>
        <v>0.1577006838</v>
      </c>
      <c r="L4" s="291">
        <v>0.0</v>
      </c>
    </row>
    <row r="5">
      <c r="A5" s="21">
        <v>43556.0</v>
      </c>
      <c r="B5" s="1">
        <v>30.0</v>
      </c>
      <c r="C5" s="289">
        <f t="shared" si="1"/>
        <v>120</v>
      </c>
      <c r="D5" s="1">
        <f>258.56+33.49+215-59</f>
        <v>448.05</v>
      </c>
      <c r="E5" s="289">
        <f t="shared" si="2"/>
        <v>2231.54</v>
      </c>
      <c r="F5" s="289">
        <f t="shared" si="3"/>
        <v>557.885</v>
      </c>
      <c r="G5" s="290">
        <f t="shared" si="4"/>
        <v>0.01859616667</v>
      </c>
      <c r="H5" s="289">
        <f t="shared" si="5"/>
        <v>557.885</v>
      </c>
      <c r="I5" s="289">
        <f t="shared" si="6"/>
        <v>557.885</v>
      </c>
      <c r="J5" s="290">
        <f t="shared" si="7"/>
        <v>0.00557885</v>
      </c>
      <c r="K5" s="290">
        <f t="shared" si="8"/>
        <v>-0.06158430942</v>
      </c>
      <c r="L5" s="291">
        <v>0.0</v>
      </c>
    </row>
    <row r="6">
      <c r="A6" s="21">
        <v>43586.0</v>
      </c>
      <c r="B6" s="1">
        <v>31.0</v>
      </c>
      <c r="C6" s="289">
        <f t="shared" si="1"/>
        <v>151</v>
      </c>
      <c r="D6" s="1">
        <f>258.89+324-59</f>
        <v>523.89</v>
      </c>
      <c r="E6" s="289">
        <f t="shared" si="2"/>
        <v>2755.43</v>
      </c>
      <c r="F6" s="289">
        <f t="shared" si="3"/>
        <v>551.086</v>
      </c>
      <c r="G6" s="290">
        <f t="shared" si="4"/>
        <v>0.01824788079</v>
      </c>
      <c r="H6" s="289">
        <f t="shared" si="5"/>
        <v>551.086</v>
      </c>
      <c r="I6" s="289">
        <f t="shared" si="6"/>
        <v>551.086</v>
      </c>
      <c r="J6" s="290">
        <f t="shared" si="7"/>
        <v>0.00551086</v>
      </c>
      <c r="K6" s="290">
        <f t="shared" si="8"/>
        <v>-0.01218709949</v>
      </c>
      <c r="L6" s="291">
        <v>0.0</v>
      </c>
    </row>
    <row r="7">
      <c r="A7" s="21">
        <v>43617.0</v>
      </c>
      <c r="B7" s="1">
        <v>30.0</v>
      </c>
      <c r="C7" s="289">
        <f t="shared" si="1"/>
        <v>181</v>
      </c>
      <c r="D7" s="1">
        <f>437.91+372-59</f>
        <v>750.91</v>
      </c>
      <c r="E7" s="289">
        <f t="shared" si="2"/>
        <v>3506.34</v>
      </c>
      <c r="F7" s="289">
        <f t="shared" si="3"/>
        <v>584.39</v>
      </c>
      <c r="G7" s="290">
        <f t="shared" si="4"/>
        <v>0.0193720442</v>
      </c>
      <c r="H7" s="289">
        <f t="shared" si="5"/>
        <v>584.39</v>
      </c>
      <c r="I7" s="289">
        <f t="shared" si="6"/>
        <v>584.39</v>
      </c>
      <c r="J7" s="290">
        <f t="shared" si="7"/>
        <v>0.0058439</v>
      </c>
      <c r="K7" s="290">
        <f t="shared" si="8"/>
        <v>0.06043339878</v>
      </c>
      <c r="L7" s="291">
        <v>0.0</v>
      </c>
    </row>
    <row r="8">
      <c r="A8" s="21">
        <v>43647.0</v>
      </c>
      <c r="B8" s="1">
        <v>31.0</v>
      </c>
      <c r="C8" s="289">
        <f t="shared" si="1"/>
        <v>212</v>
      </c>
      <c r="D8" s="1">
        <f>501.5+372-59</f>
        <v>814.5</v>
      </c>
      <c r="E8" s="289">
        <f t="shared" si="2"/>
        <v>4320.84</v>
      </c>
      <c r="F8" s="289">
        <f t="shared" si="3"/>
        <v>617.2628571</v>
      </c>
      <c r="G8" s="290">
        <f t="shared" si="4"/>
        <v>0.02038132075</v>
      </c>
      <c r="H8" s="289">
        <f t="shared" si="5"/>
        <v>617.2628571</v>
      </c>
      <c r="I8" s="289">
        <f t="shared" si="6"/>
        <v>617.2628571</v>
      </c>
      <c r="J8" s="290">
        <f t="shared" si="7"/>
        <v>0.006172628571</v>
      </c>
      <c r="K8" s="290">
        <f t="shared" si="8"/>
        <v>0.05625157368</v>
      </c>
      <c r="L8" s="291">
        <v>0.0</v>
      </c>
    </row>
    <row r="9">
      <c r="A9" s="21">
        <v>43678.0</v>
      </c>
      <c r="B9" s="1">
        <v>31.0</v>
      </c>
      <c r="C9" s="289">
        <f t="shared" si="1"/>
        <v>243</v>
      </c>
      <c r="D9" s="1">
        <f>668.72+294-59</f>
        <v>903.72</v>
      </c>
      <c r="E9" s="289">
        <f t="shared" si="2"/>
        <v>5224.56</v>
      </c>
      <c r="F9" s="289">
        <f t="shared" si="3"/>
        <v>653.07</v>
      </c>
      <c r="G9" s="290">
        <f t="shared" si="4"/>
        <v>0.02150024691</v>
      </c>
      <c r="H9" s="289">
        <f t="shared" si="5"/>
        <v>653.07</v>
      </c>
      <c r="I9" s="289">
        <f t="shared" si="6"/>
        <v>653.07</v>
      </c>
      <c r="J9" s="290">
        <f t="shared" si="7"/>
        <v>0.0065307</v>
      </c>
      <c r="K9" s="290">
        <f t="shared" si="8"/>
        <v>0.0580095537</v>
      </c>
      <c r="L9" s="291">
        <v>0.0</v>
      </c>
    </row>
    <row r="10">
      <c r="A10" s="21">
        <v>43709.0</v>
      </c>
      <c r="B10" s="1">
        <v>30.0</v>
      </c>
      <c r="C10" s="289">
        <f t="shared" si="1"/>
        <v>273</v>
      </c>
      <c r="D10" s="1">
        <f>677.06+257-59</f>
        <v>875.06</v>
      </c>
      <c r="E10" s="289">
        <f t="shared" si="2"/>
        <v>6099.62</v>
      </c>
      <c r="F10" s="289">
        <f t="shared" si="3"/>
        <v>677.7355556</v>
      </c>
      <c r="G10" s="290">
        <f t="shared" si="4"/>
        <v>0.0223429304</v>
      </c>
      <c r="H10" s="289">
        <f t="shared" si="5"/>
        <v>677.7355556</v>
      </c>
      <c r="I10" s="289">
        <f t="shared" si="6"/>
        <v>677.7355556</v>
      </c>
      <c r="J10" s="290">
        <f t="shared" si="7"/>
        <v>0.006777355556</v>
      </c>
      <c r="K10" s="290">
        <f t="shared" si="8"/>
        <v>0.03776862443</v>
      </c>
      <c r="L10" s="291">
        <v>0.0</v>
      </c>
    </row>
    <row r="11">
      <c r="A11" s="21">
        <v>43739.0</v>
      </c>
      <c r="B11" s="1">
        <v>31.0</v>
      </c>
      <c r="C11" s="289">
        <f t="shared" si="1"/>
        <v>304</v>
      </c>
      <c r="D11" s="1">
        <f>658.56 + (883.93 - 115) + (262 - 59) + (216 - 28)</f>
        <v>1818.49</v>
      </c>
      <c r="E11" s="289">
        <f t="shared" si="2"/>
        <v>7918.11</v>
      </c>
      <c r="F11" s="289">
        <f t="shared" si="3"/>
        <v>791.811</v>
      </c>
      <c r="G11" s="290">
        <f t="shared" si="4"/>
        <v>0.02604641447</v>
      </c>
      <c r="H11" s="289">
        <f t="shared" si="5"/>
        <v>791.811</v>
      </c>
      <c r="I11" s="289">
        <f t="shared" si="6"/>
        <v>791.811</v>
      </c>
      <c r="J11" s="290">
        <f t="shared" si="7"/>
        <v>0.00791811</v>
      </c>
      <c r="K11" s="290">
        <f t="shared" si="8"/>
        <v>0.1683185182</v>
      </c>
      <c r="L11" s="291">
        <v>0.0</v>
      </c>
    </row>
    <row r="12">
      <c r="A12" s="21">
        <v>43770.0</v>
      </c>
      <c r="B12" s="1">
        <v>30.0</v>
      </c>
      <c r="C12" s="289">
        <f t="shared" si="1"/>
        <v>334</v>
      </c>
      <c r="D12" s="292">
        <f>683.87 + (422 - 59)</f>
        <v>1046.87</v>
      </c>
      <c r="E12" s="289">
        <f t="shared" si="2"/>
        <v>8964.98</v>
      </c>
      <c r="F12" s="289">
        <f t="shared" si="3"/>
        <v>814.9981818</v>
      </c>
      <c r="G12" s="290">
        <f t="shared" si="4"/>
        <v>0.02684125749</v>
      </c>
      <c r="H12" s="289">
        <f t="shared" si="5"/>
        <v>814.9981818</v>
      </c>
      <c r="I12" s="289">
        <f t="shared" si="6"/>
        <v>814.9981818</v>
      </c>
      <c r="J12" s="290">
        <f t="shared" si="7"/>
        <v>0.008149981818</v>
      </c>
      <c r="K12" s="290">
        <f t="shared" si="8"/>
        <v>0.02928373288</v>
      </c>
      <c r="L12" s="291">
        <v>0.0</v>
      </c>
    </row>
    <row r="13">
      <c r="A13" s="21">
        <v>43800.0</v>
      </c>
      <c r="B13" s="1">
        <v>31.0</v>
      </c>
      <c r="C13" s="289">
        <f t="shared" si="1"/>
        <v>365</v>
      </c>
      <c r="D13" s="292">
        <f>665.18 + (188 - 59)</f>
        <v>794.18</v>
      </c>
      <c r="E13" s="293">
        <f t="shared" si="2"/>
        <v>9759.16</v>
      </c>
      <c r="F13" s="289">
        <f t="shared" si="3"/>
        <v>813.2633333</v>
      </c>
      <c r="G13" s="290">
        <f t="shared" si="4"/>
        <v>0.02673742466</v>
      </c>
      <c r="H13" s="289">
        <f t="shared" si="5"/>
        <v>813.2633333</v>
      </c>
      <c r="I13" s="289">
        <f t="shared" si="6"/>
        <v>813.2633333</v>
      </c>
      <c r="J13" s="290">
        <f t="shared" si="7"/>
        <v>0.008132633333</v>
      </c>
      <c r="K13" s="290">
        <f t="shared" si="8"/>
        <v>-0.002128653196</v>
      </c>
      <c r="L13" s="291">
        <v>0.0</v>
      </c>
    </row>
    <row r="14">
      <c r="A14" s="21">
        <v>43831.0</v>
      </c>
      <c r="B14" s="1">
        <v>31.0</v>
      </c>
      <c r="C14" s="289">
        <f t="shared" ref="C14:C25" si="9">SUM(B$14:B14)</f>
        <v>31</v>
      </c>
      <c r="D14" s="292">
        <f> 689.83 + (604.09 - 79) + (584.64 - 76) + (397.5 - 49) + (816.2 - 106) + (161 - 59) + 301.35</f>
        <v>3185.61</v>
      </c>
      <c r="E14" s="289">
        <f t="shared" ref="E14:E25" si="10">SUM(D$14:D14)</f>
        <v>3185.61</v>
      </c>
      <c r="F14" s="289">
        <f t="shared" ref="F14:F25" si="11">AVERAGE(D$14:D14)</f>
        <v>3185.61</v>
      </c>
      <c r="G14" s="290">
        <f t="shared" si="4"/>
        <v>0.1027616129</v>
      </c>
      <c r="H14" s="289">
        <f t="shared" ref="H14:H37" si="12">average(D3:D14)</f>
        <v>1043.980833</v>
      </c>
      <c r="I14" s="289">
        <f t="shared" si="6"/>
        <v>995.7515385</v>
      </c>
      <c r="J14" s="290">
        <f t="shared" si="7"/>
        <v>0.01043980833</v>
      </c>
      <c r="K14" s="290">
        <f t="shared" si="8"/>
        <v>0.2836934736</v>
      </c>
      <c r="L14" s="290">
        <f t="shared" ref="L14:L37" si="13">(H14-H2)/H2</f>
        <v>1.503551159</v>
      </c>
    </row>
    <row r="15">
      <c r="A15" s="21">
        <v>43862.0</v>
      </c>
      <c r="B15" s="1">
        <v>29.0</v>
      </c>
      <c r="C15" s="289">
        <f t="shared" si="9"/>
        <v>60</v>
      </c>
      <c r="D15" s="1">
        <f> 167 + 390 + 659.52 - 59 + 122</f>
        <v>1279.52</v>
      </c>
      <c r="E15" s="289">
        <f t="shared" si="10"/>
        <v>4465.13</v>
      </c>
      <c r="F15" s="289">
        <f t="shared" si="11"/>
        <v>2232.565</v>
      </c>
      <c r="G15" s="290">
        <f t="shared" si="4"/>
        <v>0.07441883333</v>
      </c>
      <c r="H15" s="289">
        <f t="shared" si="12"/>
        <v>1099.771667</v>
      </c>
      <c r="I15" s="289">
        <f t="shared" si="6"/>
        <v>1016.020714</v>
      </c>
      <c r="J15" s="290">
        <f t="shared" si="7"/>
        <v>0.01099771667</v>
      </c>
      <c r="K15" s="290">
        <f t="shared" si="8"/>
        <v>0.05344047664</v>
      </c>
      <c r="L15" s="290">
        <f t="shared" si="13"/>
        <v>1.141654415</v>
      </c>
    </row>
    <row r="16">
      <c r="A16" s="21">
        <v>43891.0</v>
      </c>
      <c r="B16" s="1">
        <v>31.0</v>
      </c>
      <c r="C16" s="289">
        <f t="shared" si="9"/>
        <v>91</v>
      </c>
      <c r="D16" s="292">
        <f> 215 + 40.6 + 15.24 - 59</f>
        <v>211.84</v>
      </c>
      <c r="E16" s="289">
        <f t="shared" si="10"/>
        <v>4676.97</v>
      </c>
      <c r="F16" s="289">
        <f t="shared" si="11"/>
        <v>1558.99</v>
      </c>
      <c r="G16" s="290">
        <f t="shared" si="4"/>
        <v>0.05139527473</v>
      </c>
      <c r="H16" s="289">
        <f t="shared" si="12"/>
        <v>1054.386667</v>
      </c>
      <c r="I16" s="289">
        <f t="shared" si="6"/>
        <v>962.4086667</v>
      </c>
      <c r="J16" s="290">
        <f t="shared" si="7"/>
        <v>0.01054386667</v>
      </c>
      <c r="K16" s="290">
        <f t="shared" si="8"/>
        <v>-0.04126765707</v>
      </c>
      <c r="L16" s="290">
        <f t="shared" si="13"/>
        <v>0.7735787697</v>
      </c>
    </row>
    <row r="17">
      <c r="A17" s="21">
        <v>43922.0</v>
      </c>
      <c r="B17" s="1">
        <v>30.0</v>
      </c>
      <c r="C17" s="289">
        <f t="shared" si="9"/>
        <v>121</v>
      </c>
      <c r="D17" s="294">
        <f> 75 + 226 - 59 + 73.79 + (14300 - 14300)</f>
        <v>315.79</v>
      </c>
      <c r="E17" s="289">
        <f t="shared" si="10"/>
        <v>4992.76</v>
      </c>
      <c r="F17" s="289">
        <f t="shared" si="11"/>
        <v>1248.19</v>
      </c>
      <c r="G17" s="290">
        <f t="shared" si="4"/>
        <v>0.04126247934</v>
      </c>
      <c r="H17" s="289">
        <f t="shared" si="12"/>
        <v>1043.365</v>
      </c>
      <c r="I17" s="289">
        <f t="shared" si="6"/>
        <v>921.995</v>
      </c>
      <c r="J17" s="290">
        <f t="shared" si="7"/>
        <v>0.01043365</v>
      </c>
      <c r="K17" s="290">
        <f t="shared" si="8"/>
        <v>-0.01045315444</v>
      </c>
      <c r="L17" s="290">
        <f t="shared" si="13"/>
        <v>0.8702151877</v>
      </c>
    </row>
    <row r="18">
      <c r="A18" s="21">
        <v>43952.0</v>
      </c>
      <c r="B18" s="1">
        <v>31.0</v>
      </c>
      <c r="C18" s="289">
        <f t="shared" si="9"/>
        <v>152</v>
      </c>
      <c r="D18" s="292">
        <f> 600 + 100.61 + 197</f>
        <v>897.61</v>
      </c>
      <c r="E18" s="289">
        <f t="shared" si="10"/>
        <v>5890.37</v>
      </c>
      <c r="F18" s="289">
        <f t="shared" si="11"/>
        <v>1178.074</v>
      </c>
      <c r="G18" s="290">
        <f t="shared" si="4"/>
        <v>0.03875243421</v>
      </c>
      <c r="H18" s="289">
        <f t="shared" si="12"/>
        <v>1074.508333</v>
      </c>
      <c r="I18" s="289">
        <f t="shared" si="6"/>
        <v>920.5605882</v>
      </c>
      <c r="J18" s="290">
        <f t="shared" si="7"/>
        <v>0.01074508333</v>
      </c>
      <c r="K18" s="290">
        <f t="shared" si="8"/>
        <v>0.0298489343</v>
      </c>
      <c r="L18" s="290">
        <f t="shared" si="13"/>
        <v>0.9498015434</v>
      </c>
    </row>
    <row r="19">
      <c r="A19" s="21">
        <v>43983.0</v>
      </c>
      <c r="B19" s="1">
        <v>30.0</v>
      </c>
      <c r="C19" s="289">
        <f t="shared" si="9"/>
        <v>182</v>
      </c>
      <c r="D19" s="292">
        <f> 557.2 - 72 + 116.57 + 72 - 9 + 276 - 59</f>
        <v>881.77</v>
      </c>
      <c r="E19" s="289">
        <f t="shared" si="10"/>
        <v>6772.14</v>
      </c>
      <c r="F19" s="289">
        <f t="shared" si="11"/>
        <v>1128.69</v>
      </c>
      <c r="G19" s="290">
        <f t="shared" si="4"/>
        <v>0.03720956044</v>
      </c>
      <c r="H19" s="289">
        <f t="shared" si="12"/>
        <v>1085.413333</v>
      </c>
      <c r="I19" s="289">
        <f t="shared" si="6"/>
        <v>918.4055556</v>
      </c>
      <c r="J19" s="290">
        <f t="shared" si="7"/>
        <v>0.01085413333</v>
      </c>
      <c r="K19" s="290">
        <f t="shared" si="8"/>
        <v>0.01014882776</v>
      </c>
      <c r="L19" s="290">
        <f t="shared" si="13"/>
        <v>0.8573441252</v>
      </c>
    </row>
    <row r="20">
      <c r="A20" s="21">
        <v>44013.0</v>
      </c>
      <c r="B20" s="1">
        <v>31.0</v>
      </c>
      <c r="C20" s="289">
        <f t="shared" si="9"/>
        <v>213</v>
      </c>
      <c r="D20" s="292">
        <f> 92.88 + 617.1 + 312 + 24 - 80 - 41 - 2 + 325 - 59</f>
        <v>1188.98</v>
      </c>
      <c r="E20" s="289">
        <f t="shared" si="10"/>
        <v>7961.12</v>
      </c>
      <c r="F20" s="289">
        <f t="shared" si="11"/>
        <v>1137.302857</v>
      </c>
      <c r="G20" s="290">
        <f t="shared" si="4"/>
        <v>0.03737615023</v>
      </c>
      <c r="H20" s="289">
        <f t="shared" si="12"/>
        <v>1116.62</v>
      </c>
      <c r="I20" s="289">
        <f t="shared" si="6"/>
        <v>932.6463158</v>
      </c>
      <c r="J20" s="290">
        <f t="shared" si="7"/>
        <v>0.0111662</v>
      </c>
      <c r="K20" s="290">
        <f t="shared" si="8"/>
        <v>0.02875095202</v>
      </c>
      <c r="L20" s="290">
        <f t="shared" si="13"/>
        <v>0.8089862156</v>
      </c>
    </row>
    <row r="21">
      <c r="A21" s="21">
        <v>44044.0</v>
      </c>
      <c r="B21" s="1">
        <v>31.0</v>
      </c>
      <c r="C21" s="289">
        <f t="shared" si="9"/>
        <v>244</v>
      </c>
      <c r="D21" s="292">
        <f> 2295 - 298 + 153.8 + 499 + 241.54 - 59</f>
        <v>2832.34</v>
      </c>
      <c r="E21" s="289">
        <f t="shared" si="10"/>
        <v>10793.46</v>
      </c>
      <c r="F21" s="289">
        <f t="shared" si="11"/>
        <v>1349.1825</v>
      </c>
      <c r="G21" s="290">
        <f t="shared" si="4"/>
        <v>0.0442354918</v>
      </c>
      <c r="H21" s="289">
        <f t="shared" si="12"/>
        <v>1277.338333</v>
      </c>
      <c r="I21" s="289">
        <f t="shared" si="6"/>
        <v>1027.631</v>
      </c>
      <c r="J21" s="290">
        <f t="shared" si="7"/>
        <v>0.01277338333</v>
      </c>
      <c r="K21" s="290">
        <f t="shared" si="8"/>
        <v>0.1439328808</v>
      </c>
      <c r="L21" s="290">
        <f t="shared" si="13"/>
        <v>0.9558980405</v>
      </c>
    </row>
    <row r="22">
      <c r="A22" s="21">
        <v>44075.0</v>
      </c>
      <c r="B22" s="1">
        <v>30.0</v>
      </c>
      <c r="C22" s="289">
        <f t="shared" si="9"/>
        <v>274</v>
      </c>
      <c r="D22" s="292">
        <f> 158.71 + 530 - 59 + 110.86</f>
        <v>740.57</v>
      </c>
      <c r="E22" s="289">
        <f t="shared" si="10"/>
        <v>11534.03</v>
      </c>
      <c r="F22" s="289">
        <f t="shared" si="11"/>
        <v>1281.558889</v>
      </c>
      <c r="G22" s="290">
        <f t="shared" si="4"/>
        <v>0.042095</v>
      </c>
      <c r="H22" s="289">
        <f t="shared" si="12"/>
        <v>1266.130833</v>
      </c>
      <c r="I22" s="289">
        <f t="shared" si="6"/>
        <v>1013.961429</v>
      </c>
      <c r="J22" s="290">
        <f t="shared" si="7"/>
        <v>0.01266130833</v>
      </c>
      <c r="K22" s="290">
        <f t="shared" si="8"/>
        <v>-0.008774104485</v>
      </c>
      <c r="L22" s="290">
        <f t="shared" si="13"/>
        <v>0.8681782636</v>
      </c>
    </row>
    <row r="23">
      <c r="A23" s="21">
        <v>44105.0</v>
      </c>
      <c r="B23" s="1">
        <v>31.0</v>
      </c>
      <c r="C23" s="289">
        <f t="shared" si="9"/>
        <v>305</v>
      </c>
      <c r="D23" s="1">
        <f> 188.42 + (460 - 60) + (446.5 - 55) + (1309 - 169) + (238.56 - 31) + 673.16 + (132 - 17)</f>
        <v>3115.64</v>
      </c>
      <c r="E23" s="289">
        <f t="shared" si="10"/>
        <v>14649.67</v>
      </c>
      <c r="F23" s="289">
        <f t="shared" si="11"/>
        <v>1464.967</v>
      </c>
      <c r="G23" s="290">
        <f t="shared" si="4"/>
        <v>0.04803170492</v>
      </c>
      <c r="H23" s="289">
        <f t="shared" si="12"/>
        <v>1374.226667</v>
      </c>
      <c r="I23" s="289">
        <f t="shared" si="6"/>
        <v>1109.492273</v>
      </c>
      <c r="J23" s="290">
        <f t="shared" si="7"/>
        <v>0.01374226667</v>
      </c>
      <c r="K23" s="290">
        <f t="shared" si="8"/>
        <v>0.08537493163</v>
      </c>
      <c r="L23" s="290">
        <f t="shared" si="13"/>
        <v>0.7355488452</v>
      </c>
    </row>
    <row r="24">
      <c r="A24" s="21">
        <v>44136.0</v>
      </c>
      <c r="B24" s="1">
        <v>30.0</v>
      </c>
      <c r="C24" s="289">
        <f t="shared" si="9"/>
        <v>335</v>
      </c>
      <c r="D24" s="1">
        <f> 216.37 + 208 + 791.79 + 387 - 59</f>
        <v>1544.16</v>
      </c>
      <c r="E24" s="289">
        <f t="shared" si="10"/>
        <v>16193.83</v>
      </c>
      <c r="F24" s="289">
        <f t="shared" si="11"/>
        <v>1472.166364</v>
      </c>
      <c r="G24" s="290">
        <f t="shared" si="4"/>
        <v>0.04833979104</v>
      </c>
      <c r="H24" s="289">
        <f t="shared" si="12"/>
        <v>1415.6675</v>
      </c>
      <c r="I24" s="289">
        <f t="shared" si="6"/>
        <v>1128.39087</v>
      </c>
      <c r="J24" s="290">
        <f t="shared" si="7"/>
        <v>0.014156675</v>
      </c>
      <c r="K24" s="290">
        <f t="shared" si="8"/>
        <v>0.0301557482</v>
      </c>
      <c r="L24" s="290">
        <f t="shared" si="13"/>
        <v>0.7370192125</v>
      </c>
    </row>
    <row r="25">
      <c r="A25" s="21">
        <v>44166.0</v>
      </c>
      <c r="B25" s="1">
        <v>31.0</v>
      </c>
      <c r="C25" s="289">
        <f t="shared" si="9"/>
        <v>366</v>
      </c>
      <c r="D25" s="1">
        <f> 197.32 + 172.47 + (579 + 171 + 692.88 - 59) + (492 - 64) + (623.35 - 81)</f>
        <v>2724.02</v>
      </c>
      <c r="E25" s="293">
        <f t="shared" si="10"/>
        <v>18917.85</v>
      </c>
      <c r="F25" s="289">
        <f t="shared" si="11"/>
        <v>1576.4875</v>
      </c>
      <c r="G25" s="290">
        <f t="shared" si="4"/>
        <v>0.05168811475</v>
      </c>
      <c r="H25" s="289">
        <f t="shared" si="12"/>
        <v>1576.4875</v>
      </c>
      <c r="I25" s="289">
        <f t="shared" si="6"/>
        <v>1194.875417</v>
      </c>
      <c r="J25" s="290">
        <f t="shared" si="7"/>
        <v>0.015764875</v>
      </c>
      <c r="K25" s="290">
        <f t="shared" si="8"/>
        <v>0.1136001215</v>
      </c>
      <c r="L25" s="290">
        <f t="shared" si="13"/>
        <v>0.9384711389</v>
      </c>
    </row>
    <row r="26">
      <c r="A26" s="21">
        <v>44197.0</v>
      </c>
      <c r="B26" s="1">
        <v>31.0</v>
      </c>
      <c r="C26" s="292">
        <f t="shared" ref="C26:C37" si="14">sum(B$26:B26)</f>
        <v>31</v>
      </c>
      <c r="D26" s="1">
        <f> (25.39 + 14.9 + 445 - 59)</f>
        <v>426.29</v>
      </c>
      <c r="E26" s="289">
        <f t="shared" ref="E26:E37" si="15">SUM(D$26:D26)</f>
        <v>426.29</v>
      </c>
      <c r="F26" s="289">
        <f t="shared" ref="F26:F37" si="16">AVERAGE(D$26:D26)</f>
        <v>426.29</v>
      </c>
      <c r="G26" s="290">
        <f t="shared" si="4"/>
        <v>0.01375129032</v>
      </c>
      <c r="H26" s="289">
        <f t="shared" si="12"/>
        <v>1346.544167</v>
      </c>
      <c r="I26" s="289">
        <f t="shared" si="6"/>
        <v>1164.132</v>
      </c>
      <c r="J26" s="290">
        <f t="shared" si="7"/>
        <v>0.01346544167</v>
      </c>
      <c r="K26" s="290">
        <f t="shared" si="8"/>
        <v>-0.1458580124</v>
      </c>
      <c r="L26" s="290">
        <f t="shared" si="13"/>
        <v>0.2898169427</v>
      </c>
    </row>
    <row r="27">
      <c r="A27" s="21">
        <v>44228.0</v>
      </c>
      <c r="B27" s="1">
        <v>28.0</v>
      </c>
      <c r="C27" s="292">
        <f t="shared" si="14"/>
        <v>59</v>
      </c>
      <c r="D27" s="295">
        <f> (6.55 * 75.5) + 346.09 + (201.99 + 359 - 59)</f>
        <v>1342.605</v>
      </c>
      <c r="E27" s="289">
        <f t="shared" si="15"/>
        <v>1768.895</v>
      </c>
      <c r="F27" s="289">
        <f t="shared" si="16"/>
        <v>884.4475</v>
      </c>
      <c r="G27" s="290">
        <f t="shared" si="4"/>
        <v>0.02998127119</v>
      </c>
      <c r="H27" s="289">
        <f t="shared" si="12"/>
        <v>1351.80125</v>
      </c>
      <c r="I27" s="289">
        <f t="shared" si="6"/>
        <v>1170.996346</v>
      </c>
      <c r="J27" s="290">
        <f t="shared" si="7"/>
        <v>0.0135180125</v>
      </c>
      <c r="K27" s="290">
        <f t="shared" si="8"/>
        <v>0.003904129893</v>
      </c>
      <c r="L27" s="290">
        <f t="shared" si="13"/>
        <v>0.2291653722</v>
      </c>
    </row>
    <row r="28">
      <c r="A28" s="21">
        <v>44256.0</v>
      </c>
      <c r="B28" s="1">
        <v>31.0</v>
      </c>
      <c r="C28" s="292">
        <f t="shared" si="14"/>
        <v>90</v>
      </c>
      <c r="D28" s="296">
        <f> 212.89 + 579.42 + (37610 - 37610) + (501.38 + 429 - 59)</f>
        <v>1663.69</v>
      </c>
      <c r="E28" s="289">
        <f t="shared" si="15"/>
        <v>3432.585</v>
      </c>
      <c r="F28" s="289">
        <f t="shared" si="16"/>
        <v>1144.195</v>
      </c>
      <c r="G28" s="290">
        <f t="shared" si="4"/>
        <v>0.03813983333</v>
      </c>
      <c r="H28" s="289">
        <f t="shared" si="12"/>
        <v>1472.78875</v>
      </c>
      <c r="I28" s="289">
        <f t="shared" si="6"/>
        <v>1189.244259</v>
      </c>
      <c r="J28" s="290">
        <f t="shared" si="7"/>
        <v>0.0147278875</v>
      </c>
      <c r="K28" s="290">
        <f t="shared" si="8"/>
        <v>0.0895009529</v>
      </c>
      <c r="L28" s="290">
        <f t="shared" si="13"/>
        <v>0.3968203474</v>
      </c>
    </row>
    <row r="29">
      <c r="A29" s="21">
        <v>44287.0</v>
      </c>
      <c r="B29" s="1">
        <v>30.0</v>
      </c>
      <c r="C29" s="292">
        <f t="shared" si="14"/>
        <v>120</v>
      </c>
      <c r="D29" s="1">
        <f> 212.89 + 268.32 + (405 + 712.22 - 59)</f>
        <v>1539.43</v>
      </c>
      <c r="E29" s="289">
        <f t="shared" si="15"/>
        <v>4972.015</v>
      </c>
      <c r="F29" s="289">
        <f t="shared" si="16"/>
        <v>1243.00375</v>
      </c>
      <c r="G29" s="290">
        <f t="shared" si="4"/>
        <v>0.04143345833</v>
      </c>
      <c r="H29" s="289">
        <f t="shared" si="12"/>
        <v>1574.75875</v>
      </c>
      <c r="I29" s="289">
        <f t="shared" si="6"/>
        <v>1201.750893</v>
      </c>
      <c r="J29" s="290">
        <f t="shared" si="7"/>
        <v>0.0157475875</v>
      </c>
      <c r="K29" s="290">
        <f t="shared" si="8"/>
        <v>0.06923599871</v>
      </c>
      <c r="L29" s="290">
        <f t="shared" si="13"/>
        <v>0.5093076248</v>
      </c>
    </row>
    <row r="30">
      <c r="A30" s="21">
        <v>44317.0</v>
      </c>
      <c r="B30" s="1">
        <v>31.0</v>
      </c>
      <c r="C30" s="292">
        <f t="shared" si="14"/>
        <v>151</v>
      </c>
      <c r="D30" s="295">
        <f> (8.42 * 74.5) + (2028 - 264) + (5.85 * 73.72) + (2992 - 389) + (826.11 + 370 - 59)</f>
        <v>6562.662</v>
      </c>
      <c r="E30" s="289">
        <f t="shared" si="15"/>
        <v>11534.677</v>
      </c>
      <c r="F30" s="289">
        <f t="shared" si="16"/>
        <v>2306.9354</v>
      </c>
      <c r="G30" s="290">
        <f t="shared" si="4"/>
        <v>0.0763885894</v>
      </c>
      <c r="H30" s="289">
        <f t="shared" si="12"/>
        <v>2046.846417</v>
      </c>
      <c r="I30" s="289">
        <f t="shared" si="6"/>
        <v>1386.609897</v>
      </c>
      <c r="J30" s="290">
        <f t="shared" si="7"/>
        <v>0.02046846417</v>
      </c>
      <c r="K30" s="290">
        <f t="shared" si="8"/>
        <v>0.2997841204</v>
      </c>
      <c r="L30" s="290">
        <f t="shared" si="13"/>
        <v>0.9049144182</v>
      </c>
    </row>
    <row r="31">
      <c r="A31" s="21">
        <v>44348.0</v>
      </c>
      <c r="B31" s="1">
        <v>30.0</v>
      </c>
      <c r="C31" s="292">
        <f t="shared" si="14"/>
        <v>181</v>
      </c>
      <c r="D31" s="295">
        <f> (2042.44 - 266) + 7.38*72.2 + (630-82) + 8.61*72.77 + (503 + 22.25 + 857.05)</f>
        <v>4866.1257</v>
      </c>
      <c r="E31" s="289">
        <f t="shared" si="15"/>
        <v>16400.8027</v>
      </c>
      <c r="F31" s="289">
        <f t="shared" si="16"/>
        <v>2733.467117</v>
      </c>
      <c r="G31" s="290">
        <f t="shared" si="4"/>
        <v>0.09061216961</v>
      </c>
      <c r="H31" s="289">
        <f t="shared" si="12"/>
        <v>2378.876058</v>
      </c>
      <c r="I31" s="289">
        <f t="shared" si="6"/>
        <v>1502.593757</v>
      </c>
      <c r="J31" s="290">
        <f t="shared" si="7"/>
        <v>0.02378876058</v>
      </c>
      <c r="K31" s="290">
        <f t="shared" si="8"/>
        <v>0.1622152199</v>
      </c>
      <c r="L31" s="290">
        <f t="shared" si="13"/>
        <v>1.191677571</v>
      </c>
    </row>
    <row r="32">
      <c r="A32" s="21">
        <v>44378.0</v>
      </c>
      <c r="B32" s="1">
        <v>31.0</v>
      </c>
      <c r="C32" s="292">
        <f t="shared" si="14"/>
        <v>212</v>
      </c>
      <c r="D32" s="295">
        <f> (4407.45 - 573) + (4.53 * 73.96) + (-199 + 1185.35 + 1141) + (1050 - 137) + (3976.5 - 484) + (102 - 13) + (1254.6 - 163) + 8.36*73.15</f>
        <v>12494.4728</v>
      </c>
      <c r="E32" s="289">
        <f t="shared" si="15"/>
        <v>28895.2755</v>
      </c>
      <c r="F32" s="289">
        <f t="shared" si="16"/>
        <v>4127.8965</v>
      </c>
      <c r="G32" s="290">
        <f t="shared" si="4"/>
        <v>0.1362984693</v>
      </c>
      <c r="H32" s="289">
        <f t="shared" si="12"/>
        <v>3321.000458</v>
      </c>
      <c r="I32" s="289">
        <f t="shared" si="6"/>
        <v>1857.1705</v>
      </c>
      <c r="J32" s="290">
        <f t="shared" si="7"/>
        <v>0.03321000458</v>
      </c>
      <c r="K32" s="290">
        <f t="shared" si="8"/>
        <v>0.3960376148</v>
      </c>
      <c r="L32" s="290">
        <f t="shared" si="13"/>
        <v>1.974154554</v>
      </c>
    </row>
    <row r="33">
      <c r="A33" s="21">
        <v>44409.0</v>
      </c>
      <c r="B33" s="1">
        <v>31.0</v>
      </c>
      <c r="C33" s="292">
        <f t="shared" si="14"/>
        <v>243</v>
      </c>
      <c r="D33" s="295">
        <f> 3.78*72.9 + 4.77*73.49 + 9.83*73.5 + (-199+1218+25.71+1358.6+9) + 7.02*74.02</f>
        <v>4280.5447</v>
      </c>
      <c r="E33" s="289">
        <f t="shared" si="15"/>
        <v>33175.8202</v>
      </c>
      <c r="F33" s="289">
        <f t="shared" si="16"/>
        <v>4146.977525</v>
      </c>
      <c r="G33" s="290">
        <f t="shared" si="4"/>
        <v>0.1365260091</v>
      </c>
      <c r="H33" s="289">
        <f t="shared" si="12"/>
        <v>3441.684183</v>
      </c>
      <c r="I33" s="289">
        <f t="shared" si="6"/>
        <v>1932.900944</v>
      </c>
      <c r="J33" s="290">
        <f t="shared" si="7"/>
        <v>0.03441684183</v>
      </c>
      <c r="K33" s="290">
        <f t="shared" si="8"/>
        <v>0.03633956891</v>
      </c>
      <c r="L33" s="290">
        <f t="shared" si="13"/>
        <v>1.694418615</v>
      </c>
    </row>
    <row r="34">
      <c r="A34" s="21">
        <v>44440.0</v>
      </c>
      <c r="B34" s="1">
        <v>30.0</v>
      </c>
      <c r="C34" s="292">
        <f t="shared" si="14"/>
        <v>273</v>
      </c>
      <c r="D34" s="295">
        <f> 7.38 * 72.37 + (1390.96 + 701 - 199) + 8.61 * 72.54</f>
        <v>3051.62</v>
      </c>
      <c r="E34" s="289">
        <f t="shared" si="15"/>
        <v>36227.4402</v>
      </c>
      <c r="F34" s="289">
        <f t="shared" si="16"/>
        <v>4025.271133</v>
      </c>
      <c r="G34" s="290">
        <f t="shared" si="4"/>
        <v>0.1327012462</v>
      </c>
      <c r="H34" s="289">
        <f t="shared" si="12"/>
        <v>3634.271683</v>
      </c>
      <c r="I34" s="289">
        <f t="shared" si="6"/>
        <v>1966.801521</v>
      </c>
      <c r="J34" s="290">
        <f t="shared" si="7"/>
        <v>0.03634271683</v>
      </c>
      <c r="K34" s="290">
        <f t="shared" si="8"/>
        <v>0.05595734232</v>
      </c>
      <c r="L34" s="290">
        <f t="shared" si="13"/>
        <v>1.8703761</v>
      </c>
    </row>
    <row r="35">
      <c r="A35" s="21">
        <v>44470.0</v>
      </c>
      <c r="B35" s="1">
        <v>31.0</v>
      </c>
      <c r="C35" s="292">
        <f t="shared" si="14"/>
        <v>304</v>
      </c>
      <c r="D35" s="295">
        <f> (14.4*72.6075) + (6.21 * 72.3) + (4.91 * 72.03) + (1560+156-223) + (803+1479.45-199) + (1582.5 - 195)</f>
        <v>6812.1483</v>
      </c>
      <c r="E35" s="289">
        <f t="shared" si="15"/>
        <v>43039.5885</v>
      </c>
      <c r="F35" s="289">
        <f t="shared" si="16"/>
        <v>4303.95885</v>
      </c>
      <c r="G35" s="290">
        <f t="shared" si="4"/>
        <v>0.1415775938</v>
      </c>
      <c r="H35" s="289">
        <f t="shared" si="12"/>
        <v>3942.314042</v>
      </c>
      <c r="I35" s="289">
        <f t="shared" si="6"/>
        <v>2109.311721</v>
      </c>
      <c r="J35" s="290">
        <f t="shared" si="7"/>
        <v>0.03942314042</v>
      </c>
      <c r="K35" s="290">
        <f t="shared" si="8"/>
        <v>0.08476041011</v>
      </c>
      <c r="L35" s="290">
        <f t="shared" si="13"/>
        <v>1.86875094</v>
      </c>
    </row>
    <row r="36">
      <c r="A36" s="21">
        <v>44501.0</v>
      </c>
      <c r="B36" s="1">
        <v>30.0</v>
      </c>
      <c r="C36" s="292">
        <f t="shared" si="14"/>
        <v>334</v>
      </c>
      <c r="D36" s="295">
        <f> (231.28 + 1685.04 - 249) + 8.71*71.5 + 7.16*71.26 + 12.17*71.26</f>
        <v>3667.5408</v>
      </c>
      <c r="E36" s="289">
        <f t="shared" si="15"/>
        <v>46707.1293</v>
      </c>
      <c r="F36" s="289">
        <f t="shared" si="16"/>
        <v>4246.102664</v>
      </c>
      <c r="G36" s="290">
        <f t="shared" si="4"/>
        <v>0.1398417045</v>
      </c>
      <c r="H36" s="289">
        <f t="shared" si="12"/>
        <v>4119.262442</v>
      </c>
      <c r="I36" s="289">
        <f t="shared" si="6"/>
        <v>2153.832551</v>
      </c>
      <c r="J36" s="290">
        <f t="shared" si="7"/>
        <v>0.04119262442</v>
      </c>
      <c r="K36" s="290">
        <f t="shared" si="8"/>
        <v>0.04488439991</v>
      </c>
      <c r="L36" s="290">
        <f t="shared" si="13"/>
        <v>1.909766906</v>
      </c>
    </row>
    <row r="37">
      <c r="A37" s="21">
        <v>44531.0</v>
      </c>
      <c r="B37" s="1">
        <v>31.0</v>
      </c>
      <c r="C37" s="292">
        <f t="shared" si="14"/>
        <v>365</v>
      </c>
      <c r="D37" s="1">
        <v>0.0</v>
      </c>
      <c r="E37" s="289">
        <f t="shared" si="15"/>
        <v>46707.1293</v>
      </c>
      <c r="F37" s="289">
        <f t="shared" si="16"/>
        <v>3892.260775</v>
      </c>
      <c r="G37" s="290">
        <f t="shared" si="4"/>
        <v>0.1279647378</v>
      </c>
      <c r="H37" s="289">
        <f t="shared" si="12"/>
        <v>3892.260775</v>
      </c>
      <c r="I37" s="289">
        <f t="shared" si="6"/>
        <v>2094.003869</v>
      </c>
      <c r="J37" s="290">
        <f t="shared" si="7"/>
        <v>0.03892260775</v>
      </c>
      <c r="K37" s="290">
        <f t="shared" si="8"/>
        <v>-0.05510735717</v>
      </c>
      <c r="L37" s="290">
        <f t="shared" si="13"/>
        <v>1.468944901</v>
      </c>
    </row>
    <row r="38">
      <c r="K38" s="292"/>
    </row>
    <row r="39">
      <c r="K39" s="292"/>
    </row>
    <row r="40">
      <c r="K40" s="292"/>
    </row>
    <row r="41">
      <c r="K41" s="292"/>
    </row>
    <row r="42">
      <c r="K42" s="292"/>
    </row>
    <row r="43">
      <c r="K43" s="292"/>
    </row>
    <row r="44">
      <c r="K44" s="292"/>
    </row>
    <row r="45">
      <c r="K45" s="292"/>
    </row>
    <row r="46">
      <c r="K46" s="292"/>
    </row>
    <row r="47">
      <c r="K47" s="292"/>
    </row>
    <row r="48">
      <c r="K48" s="292"/>
    </row>
    <row r="49">
      <c r="K49" s="292"/>
    </row>
    <row r="50">
      <c r="K50" s="292"/>
    </row>
    <row r="51">
      <c r="K51" s="292"/>
    </row>
    <row r="52">
      <c r="K52" s="292"/>
    </row>
    <row r="53">
      <c r="K53" s="292"/>
    </row>
    <row r="54">
      <c r="K54" s="292"/>
    </row>
    <row r="55">
      <c r="K55" s="292"/>
    </row>
    <row r="56">
      <c r="K56" s="292"/>
    </row>
    <row r="57">
      <c r="K57" s="292"/>
    </row>
    <row r="58">
      <c r="K58" s="292"/>
    </row>
    <row r="59">
      <c r="K59" s="292"/>
    </row>
    <row r="60">
      <c r="K60" s="292"/>
    </row>
    <row r="61">
      <c r="K61" s="292"/>
    </row>
    <row r="62">
      <c r="K62" s="292"/>
    </row>
    <row r="63">
      <c r="K63" s="292"/>
    </row>
    <row r="64">
      <c r="K64" s="292"/>
    </row>
    <row r="65">
      <c r="K65" s="292"/>
    </row>
    <row r="66">
      <c r="K66" s="292"/>
    </row>
    <row r="67">
      <c r="K67" s="292"/>
    </row>
    <row r="68">
      <c r="K68" s="292"/>
    </row>
    <row r="69">
      <c r="K69" s="292"/>
    </row>
    <row r="70">
      <c r="K70" s="292"/>
    </row>
    <row r="71">
      <c r="K71" s="292"/>
    </row>
    <row r="72">
      <c r="K72" s="292"/>
    </row>
    <row r="73">
      <c r="K73" s="292"/>
    </row>
    <row r="74">
      <c r="K74" s="292"/>
    </row>
    <row r="75">
      <c r="K75" s="292"/>
    </row>
    <row r="76">
      <c r="K76" s="292"/>
    </row>
    <row r="77">
      <c r="K77" s="292"/>
    </row>
    <row r="78">
      <c r="K78" s="292"/>
    </row>
    <row r="79">
      <c r="K79" s="292"/>
    </row>
    <row r="80">
      <c r="K80" s="292"/>
    </row>
    <row r="81">
      <c r="K81" s="292"/>
    </row>
    <row r="82">
      <c r="K82" s="292"/>
    </row>
    <row r="83">
      <c r="K83" s="292"/>
    </row>
    <row r="84">
      <c r="K84" s="292"/>
    </row>
    <row r="85">
      <c r="K85" s="292"/>
    </row>
    <row r="86">
      <c r="K86" s="292"/>
    </row>
    <row r="87">
      <c r="K87" s="292"/>
    </row>
    <row r="88">
      <c r="K88" s="292"/>
    </row>
    <row r="89">
      <c r="K89" s="292"/>
    </row>
    <row r="90">
      <c r="K90" s="292"/>
    </row>
    <row r="91">
      <c r="K91" s="292"/>
    </row>
    <row r="92">
      <c r="K92" s="292"/>
    </row>
    <row r="93">
      <c r="K93" s="292"/>
    </row>
    <row r="94">
      <c r="K94" s="292"/>
    </row>
    <row r="95">
      <c r="K95" s="292"/>
    </row>
    <row r="96">
      <c r="K96" s="292"/>
    </row>
    <row r="97">
      <c r="K97" s="292"/>
    </row>
    <row r="98">
      <c r="K98" s="292"/>
    </row>
    <row r="99">
      <c r="K99" s="292"/>
    </row>
    <row r="100">
      <c r="K100" s="292"/>
    </row>
    <row r="101">
      <c r="K101" s="292"/>
    </row>
    <row r="102">
      <c r="K102" s="292"/>
    </row>
    <row r="103">
      <c r="K103" s="292"/>
    </row>
    <row r="104">
      <c r="K104" s="292"/>
    </row>
    <row r="105">
      <c r="K105" s="292"/>
    </row>
    <row r="106">
      <c r="K106" s="292"/>
    </row>
    <row r="107">
      <c r="K107" s="292"/>
    </row>
    <row r="108">
      <c r="K108" s="292"/>
    </row>
    <row r="109">
      <c r="K109" s="292"/>
    </row>
    <row r="110">
      <c r="K110" s="292"/>
    </row>
    <row r="111">
      <c r="K111" s="292"/>
    </row>
    <row r="112">
      <c r="K112" s="292"/>
    </row>
    <row r="113">
      <c r="K113" s="292"/>
    </row>
    <row r="114">
      <c r="K114" s="292"/>
    </row>
    <row r="115">
      <c r="K115" s="292"/>
    </row>
    <row r="116">
      <c r="K116" s="292"/>
    </row>
    <row r="117">
      <c r="K117" s="292"/>
    </row>
    <row r="118">
      <c r="K118" s="292"/>
    </row>
    <row r="119">
      <c r="K119" s="292"/>
    </row>
    <row r="120">
      <c r="K120" s="292"/>
    </row>
    <row r="121">
      <c r="K121" s="292"/>
    </row>
    <row r="122">
      <c r="K122" s="292"/>
    </row>
    <row r="123">
      <c r="K123" s="292"/>
    </row>
    <row r="124">
      <c r="K124" s="292"/>
    </row>
    <row r="125">
      <c r="K125" s="292"/>
    </row>
    <row r="126">
      <c r="K126" s="292"/>
    </row>
    <row r="127">
      <c r="K127" s="292"/>
    </row>
    <row r="128">
      <c r="K128" s="292"/>
    </row>
    <row r="129">
      <c r="K129" s="292"/>
    </row>
    <row r="130">
      <c r="K130" s="292"/>
    </row>
    <row r="131">
      <c r="K131" s="292"/>
    </row>
    <row r="132">
      <c r="K132" s="292"/>
    </row>
    <row r="133">
      <c r="K133" s="292"/>
    </row>
    <row r="134">
      <c r="K134" s="292"/>
    </row>
    <row r="135">
      <c r="K135" s="292"/>
    </row>
    <row r="136">
      <c r="K136" s="292"/>
    </row>
    <row r="137">
      <c r="K137" s="292"/>
    </row>
    <row r="138">
      <c r="K138" s="292"/>
    </row>
    <row r="139">
      <c r="K139" s="292"/>
    </row>
    <row r="140">
      <c r="K140" s="292"/>
    </row>
    <row r="141">
      <c r="K141" s="292"/>
    </row>
    <row r="142">
      <c r="K142" s="292"/>
    </row>
    <row r="143">
      <c r="K143" s="292"/>
    </row>
    <row r="144">
      <c r="K144" s="292"/>
    </row>
    <row r="145">
      <c r="K145" s="292"/>
    </row>
    <row r="146">
      <c r="K146" s="292"/>
    </row>
    <row r="147">
      <c r="K147" s="292"/>
    </row>
    <row r="148">
      <c r="K148" s="292"/>
    </row>
    <row r="149">
      <c r="K149" s="292"/>
    </row>
    <row r="150">
      <c r="K150" s="292"/>
    </row>
    <row r="151">
      <c r="K151" s="292"/>
    </row>
    <row r="152">
      <c r="K152" s="292"/>
    </row>
    <row r="153">
      <c r="K153" s="292"/>
    </row>
    <row r="154">
      <c r="K154" s="292"/>
    </row>
    <row r="155">
      <c r="K155" s="292"/>
    </row>
    <row r="156">
      <c r="K156" s="292"/>
    </row>
    <row r="157">
      <c r="K157" s="292"/>
    </row>
    <row r="158">
      <c r="K158" s="292"/>
    </row>
    <row r="159">
      <c r="K159" s="292"/>
    </row>
    <row r="160">
      <c r="K160" s="292"/>
    </row>
    <row r="161">
      <c r="K161" s="292"/>
    </row>
    <row r="162">
      <c r="K162" s="292"/>
    </row>
    <row r="163">
      <c r="K163" s="292"/>
    </row>
    <row r="164">
      <c r="K164" s="292"/>
    </row>
    <row r="165">
      <c r="K165" s="292"/>
    </row>
    <row r="166">
      <c r="K166" s="292"/>
    </row>
    <row r="167">
      <c r="K167" s="292"/>
    </row>
    <row r="168">
      <c r="K168" s="292"/>
    </row>
    <row r="169">
      <c r="K169" s="292"/>
    </row>
    <row r="170">
      <c r="K170" s="292"/>
    </row>
    <row r="171">
      <c r="K171" s="292"/>
    </row>
    <row r="172">
      <c r="K172" s="292"/>
    </row>
    <row r="173">
      <c r="K173" s="292"/>
    </row>
    <row r="174">
      <c r="K174" s="292"/>
    </row>
    <row r="175">
      <c r="K175" s="292"/>
    </row>
    <row r="176">
      <c r="K176" s="292"/>
    </row>
    <row r="177">
      <c r="K177" s="292"/>
    </row>
    <row r="178">
      <c r="K178" s="292"/>
    </row>
    <row r="179">
      <c r="K179" s="292"/>
    </row>
    <row r="180">
      <c r="K180" s="292"/>
    </row>
    <row r="181">
      <c r="K181" s="292"/>
    </row>
    <row r="182">
      <c r="K182" s="292"/>
    </row>
    <row r="183">
      <c r="K183" s="292"/>
    </row>
    <row r="184">
      <c r="K184" s="292"/>
    </row>
    <row r="185">
      <c r="K185" s="292"/>
    </row>
    <row r="186">
      <c r="K186" s="292"/>
    </row>
    <row r="187">
      <c r="K187" s="292"/>
    </row>
    <row r="188">
      <c r="K188" s="292"/>
    </row>
    <row r="189">
      <c r="K189" s="292"/>
    </row>
    <row r="190">
      <c r="K190" s="292"/>
    </row>
    <row r="191">
      <c r="K191" s="292"/>
    </row>
    <row r="192">
      <c r="K192" s="292"/>
    </row>
    <row r="193">
      <c r="K193" s="292"/>
    </row>
    <row r="194">
      <c r="K194" s="292"/>
    </row>
    <row r="195">
      <c r="K195" s="292"/>
    </row>
    <row r="196">
      <c r="K196" s="292"/>
    </row>
    <row r="197">
      <c r="K197" s="292"/>
    </row>
    <row r="198">
      <c r="K198" s="292"/>
    </row>
    <row r="199">
      <c r="K199" s="292"/>
    </row>
    <row r="200">
      <c r="K200" s="292"/>
    </row>
    <row r="201">
      <c r="K201" s="292"/>
    </row>
    <row r="202">
      <c r="K202" s="292"/>
    </row>
    <row r="203">
      <c r="K203" s="292"/>
    </row>
    <row r="204">
      <c r="K204" s="292"/>
    </row>
    <row r="205">
      <c r="K205" s="292"/>
    </row>
    <row r="206">
      <c r="K206" s="292"/>
    </row>
    <row r="207">
      <c r="K207" s="292"/>
    </row>
    <row r="208">
      <c r="K208" s="292"/>
    </row>
    <row r="209">
      <c r="K209" s="292"/>
    </row>
    <row r="210">
      <c r="K210" s="292"/>
    </row>
    <row r="211">
      <c r="K211" s="292"/>
    </row>
    <row r="212">
      <c r="K212" s="292"/>
    </row>
    <row r="213">
      <c r="K213" s="292"/>
    </row>
    <row r="214">
      <c r="K214" s="292"/>
    </row>
    <row r="215">
      <c r="K215" s="292"/>
    </row>
    <row r="216">
      <c r="K216" s="292"/>
    </row>
    <row r="217">
      <c r="K217" s="292"/>
    </row>
    <row r="218">
      <c r="K218" s="292"/>
    </row>
    <row r="219">
      <c r="K219" s="292"/>
    </row>
    <row r="220">
      <c r="K220" s="292"/>
    </row>
    <row r="221">
      <c r="K221" s="292"/>
    </row>
    <row r="222">
      <c r="K222" s="292"/>
    </row>
    <row r="223">
      <c r="K223" s="292"/>
    </row>
    <row r="224">
      <c r="K224" s="292"/>
    </row>
    <row r="225">
      <c r="K225" s="292"/>
    </row>
    <row r="226">
      <c r="K226" s="292"/>
    </row>
    <row r="227">
      <c r="K227" s="292"/>
    </row>
    <row r="228">
      <c r="K228" s="292"/>
    </row>
    <row r="229">
      <c r="K229" s="292"/>
    </row>
    <row r="230">
      <c r="K230" s="292"/>
    </row>
    <row r="231">
      <c r="K231" s="292"/>
    </row>
    <row r="232">
      <c r="K232" s="292"/>
    </row>
    <row r="233">
      <c r="K233" s="292"/>
    </row>
    <row r="234">
      <c r="K234" s="292"/>
    </row>
    <row r="235">
      <c r="K235" s="292"/>
    </row>
    <row r="236">
      <c r="K236" s="292"/>
    </row>
    <row r="237">
      <c r="K237" s="292"/>
    </row>
    <row r="238">
      <c r="K238" s="292"/>
    </row>
    <row r="239">
      <c r="K239" s="292"/>
    </row>
    <row r="240">
      <c r="K240" s="292"/>
    </row>
    <row r="241">
      <c r="K241" s="292"/>
    </row>
    <row r="242">
      <c r="K242" s="292"/>
    </row>
    <row r="243">
      <c r="K243" s="292"/>
    </row>
    <row r="244">
      <c r="K244" s="292"/>
    </row>
    <row r="245">
      <c r="K245" s="292"/>
    </row>
    <row r="246">
      <c r="K246" s="292"/>
    </row>
    <row r="247">
      <c r="K247" s="292"/>
    </row>
    <row r="248">
      <c r="K248" s="292"/>
    </row>
    <row r="249">
      <c r="K249" s="292"/>
    </row>
    <row r="250">
      <c r="K250" s="292"/>
    </row>
    <row r="251">
      <c r="K251" s="292"/>
    </row>
    <row r="252">
      <c r="K252" s="292"/>
    </row>
    <row r="253">
      <c r="K253" s="292"/>
    </row>
    <row r="254">
      <c r="K254" s="292"/>
    </row>
    <row r="255">
      <c r="K255" s="292"/>
    </row>
    <row r="256">
      <c r="K256" s="292"/>
    </row>
    <row r="257">
      <c r="K257" s="292"/>
    </row>
    <row r="258">
      <c r="K258" s="292"/>
    </row>
    <row r="259">
      <c r="K259" s="292"/>
    </row>
    <row r="260">
      <c r="K260" s="292"/>
    </row>
    <row r="261">
      <c r="K261" s="292"/>
    </row>
    <row r="262">
      <c r="K262" s="292"/>
    </row>
    <row r="263">
      <c r="K263" s="292"/>
    </row>
    <row r="264">
      <c r="K264" s="292"/>
    </row>
    <row r="265">
      <c r="K265" s="292"/>
    </row>
    <row r="266">
      <c r="K266" s="292"/>
    </row>
    <row r="267">
      <c r="K267" s="292"/>
    </row>
    <row r="268">
      <c r="K268" s="292"/>
    </row>
    <row r="269">
      <c r="K269" s="292"/>
    </row>
    <row r="270">
      <c r="K270" s="292"/>
    </row>
    <row r="271">
      <c r="K271" s="292"/>
    </row>
    <row r="272">
      <c r="K272" s="292"/>
    </row>
    <row r="273">
      <c r="K273" s="292"/>
    </row>
    <row r="274">
      <c r="K274" s="292"/>
    </row>
    <row r="275">
      <c r="K275" s="292"/>
    </row>
    <row r="276">
      <c r="K276" s="292"/>
    </row>
    <row r="277">
      <c r="K277" s="292"/>
    </row>
    <row r="278">
      <c r="K278" s="292"/>
    </row>
    <row r="279">
      <c r="K279" s="292"/>
    </row>
    <row r="280">
      <c r="K280" s="292"/>
    </row>
    <row r="281">
      <c r="K281" s="292"/>
    </row>
    <row r="282">
      <c r="K282" s="292"/>
    </row>
    <row r="283">
      <c r="K283" s="292"/>
    </row>
    <row r="284">
      <c r="K284" s="292"/>
    </row>
    <row r="285">
      <c r="K285" s="292"/>
    </row>
    <row r="286">
      <c r="K286" s="292"/>
    </row>
    <row r="287">
      <c r="K287" s="292"/>
    </row>
    <row r="288">
      <c r="K288" s="292"/>
    </row>
    <row r="289">
      <c r="K289" s="292"/>
    </row>
    <row r="290">
      <c r="K290" s="292"/>
    </row>
    <row r="291">
      <c r="K291" s="292"/>
    </row>
    <row r="292">
      <c r="K292" s="292"/>
    </row>
    <row r="293">
      <c r="K293" s="292"/>
    </row>
    <row r="294">
      <c r="K294" s="292"/>
    </row>
    <row r="295">
      <c r="K295" s="292"/>
    </row>
    <row r="296">
      <c r="K296" s="292"/>
    </row>
    <row r="297">
      <c r="K297" s="292"/>
    </row>
    <row r="298">
      <c r="K298" s="292"/>
    </row>
    <row r="299">
      <c r="K299" s="292"/>
    </row>
    <row r="300">
      <c r="K300" s="292"/>
    </row>
    <row r="301">
      <c r="K301" s="292"/>
    </row>
    <row r="302">
      <c r="K302" s="292"/>
    </row>
    <row r="303">
      <c r="K303" s="292"/>
    </row>
    <row r="304">
      <c r="K304" s="292"/>
    </row>
    <row r="305">
      <c r="K305" s="292"/>
    </row>
    <row r="306">
      <c r="K306" s="292"/>
    </row>
    <row r="307">
      <c r="K307" s="292"/>
    </row>
    <row r="308">
      <c r="K308" s="292"/>
    </row>
    <row r="309">
      <c r="K309" s="292"/>
    </row>
    <row r="310">
      <c r="K310" s="292"/>
    </row>
    <row r="311">
      <c r="K311" s="292"/>
    </row>
    <row r="312">
      <c r="K312" s="292"/>
    </row>
    <row r="313">
      <c r="K313" s="292"/>
    </row>
    <row r="314">
      <c r="K314" s="292"/>
    </row>
    <row r="315">
      <c r="K315" s="292"/>
    </row>
    <row r="316">
      <c r="K316" s="292"/>
    </row>
    <row r="317">
      <c r="K317" s="292"/>
    </row>
    <row r="318">
      <c r="K318" s="292"/>
    </row>
    <row r="319">
      <c r="K319" s="292"/>
    </row>
    <row r="320">
      <c r="K320" s="292"/>
    </row>
    <row r="321">
      <c r="K321" s="292"/>
    </row>
    <row r="322">
      <c r="K322" s="292"/>
    </row>
    <row r="323">
      <c r="K323" s="292"/>
    </row>
    <row r="324">
      <c r="K324" s="292"/>
    </row>
    <row r="325">
      <c r="K325" s="292"/>
    </row>
    <row r="326">
      <c r="K326" s="292"/>
    </row>
    <row r="327">
      <c r="K327" s="292"/>
    </row>
    <row r="328">
      <c r="K328" s="292"/>
    </row>
    <row r="329">
      <c r="K329" s="292"/>
    </row>
    <row r="330">
      <c r="K330" s="292"/>
    </row>
    <row r="331">
      <c r="K331" s="292"/>
    </row>
    <row r="332">
      <c r="K332" s="292"/>
    </row>
    <row r="333">
      <c r="K333" s="292"/>
    </row>
    <row r="334">
      <c r="K334" s="292"/>
    </row>
    <row r="335">
      <c r="K335" s="292"/>
    </row>
    <row r="336">
      <c r="K336" s="292"/>
    </row>
    <row r="337">
      <c r="K337" s="292"/>
    </row>
    <row r="338">
      <c r="K338" s="292"/>
    </row>
    <row r="339">
      <c r="K339" s="292"/>
    </row>
    <row r="340">
      <c r="K340" s="292"/>
    </row>
    <row r="341">
      <c r="K341" s="292"/>
    </row>
    <row r="342">
      <c r="K342" s="292"/>
    </row>
    <row r="343">
      <c r="K343" s="292"/>
    </row>
    <row r="344">
      <c r="K344" s="292"/>
    </row>
    <row r="345">
      <c r="K345" s="292"/>
    </row>
    <row r="346">
      <c r="K346" s="292"/>
    </row>
    <row r="347">
      <c r="K347" s="292"/>
    </row>
    <row r="348">
      <c r="K348" s="292"/>
    </row>
    <row r="349">
      <c r="K349" s="292"/>
    </row>
    <row r="350">
      <c r="K350" s="292"/>
    </row>
    <row r="351">
      <c r="K351" s="292"/>
    </row>
    <row r="352">
      <c r="K352" s="292"/>
    </row>
    <row r="353">
      <c r="K353" s="292"/>
    </row>
    <row r="354">
      <c r="K354" s="292"/>
    </row>
    <row r="355">
      <c r="K355" s="292"/>
    </row>
    <row r="356">
      <c r="K356" s="292"/>
    </row>
    <row r="357">
      <c r="K357" s="292"/>
    </row>
    <row r="358">
      <c r="K358" s="292"/>
    </row>
    <row r="359">
      <c r="K359" s="292"/>
    </row>
    <row r="360">
      <c r="K360" s="292"/>
    </row>
    <row r="361">
      <c r="K361" s="292"/>
    </row>
    <row r="362">
      <c r="K362" s="292"/>
    </row>
    <row r="363">
      <c r="K363" s="292"/>
    </row>
    <row r="364">
      <c r="K364" s="292"/>
    </row>
    <row r="365">
      <c r="K365" s="292"/>
    </row>
    <row r="366">
      <c r="K366" s="292"/>
    </row>
    <row r="367">
      <c r="K367" s="292"/>
    </row>
    <row r="368">
      <c r="K368" s="292"/>
    </row>
    <row r="369">
      <c r="K369" s="292"/>
    </row>
    <row r="370">
      <c r="K370" s="292"/>
    </row>
    <row r="371">
      <c r="K371" s="292"/>
    </row>
    <row r="372">
      <c r="K372" s="292"/>
    </row>
    <row r="373">
      <c r="K373" s="292"/>
    </row>
    <row r="374">
      <c r="K374" s="292"/>
    </row>
    <row r="375">
      <c r="K375" s="292"/>
    </row>
    <row r="376">
      <c r="K376" s="292"/>
    </row>
    <row r="377">
      <c r="K377" s="292"/>
    </row>
    <row r="378">
      <c r="K378" s="292"/>
    </row>
    <row r="379">
      <c r="K379" s="292"/>
    </row>
    <row r="380">
      <c r="K380" s="292"/>
    </row>
    <row r="381">
      <c r="K381" s="292"/>
    </row>
    <row r="382">
      <c r="K382" s="292"/>
    </row>
    <row r="383">
      <c r="K383" s="292"/>
    </row>
    <row r="384">
      <c r="K384" s="292"/>
    </row>
    <row r="385">
      <c r="K385" s="292"/>
    </row>
    <row r="386">
      <c r="K386" s="292"/>
    </row>
    <row r="387">
      <c r="K387" s="292"/>
    </row>
    <row r="388">
      <c r="K388" s="292"/>
    </row>
    <row r="389">
      <c r="K389" s="292"/>
    </row>
    <row r="390">
      <c r="K390" s="292"/>
    </row>
    <row r="391">
      <c r="K391" s="292"/>
    </row>
    <row r="392">
      <c r="K392" s="292"/>
    </row>
    <row r="393">
      <c r="K393" s="292"/>
    </row>
    <row r="394">
      <c r="K394" s="292"/>
    </row>
    <row r="395">
      <c r="K395" s="292"/>
    </row>
    <row r="396">
      <c r="K396" s="292"/>
    </row>
    <row r="397">
      <c r="K397" s="292"/>
    </row>
    <row r="398">
      <c r="K398" s="292"/>
    </row>
    <row r="399">
      <c r="K399" s="292"/>
    </row>
    <row r="400">
      <c r="K400" s="292"/>
    </row>
    <row r="401">
      <c r="K401" s="292"/>
    </row>
    <row r="402">
      <c r="K402" s="292"/>
    </row>
    <row r="403">
      <c r="K403" s="292"/>
    </row>
    <row r="404">
      <c r="K404" s="292"/>
    </row>
    <row r="405">
      <c r="K405" s="292"/>
    </row>
    <row r="406">
      <c r="K406" s="292"/>
    </row>
    <row r="407">
      <c r="K407" s="292"/>
    </row>
    <row r="408">
      <c r="K408" s="292"/>
    </row>
    <row r="409">
      <c r="K409" s="292"/>
    </row>
    <row r="410">
      <c r="K410" s="292"/>
    </row>
    <row r="411">
      <c r="K411" s="292"/>
    </row>
    <row r="412">
      <c r="K412" s="292"/>
    </row>
    <row r="413">
      <c r="K413" s="292"/>
    </row>
    <row r="414">
      <c r="K414" s="292"/>
    </row>
    <row r="415">
      <c r="K415" s="292"/>
    </row>
    <row r="416">
      <c r="K416" s="292"/>
    </row>
    <row r="417">
      <c r="K417" s="292"/>
    </row>
    <row r="418">
      <c r="K418" s="292"/>
    </row>
    <row r="419">
      <c r="K419" s="292"/>
    </row>
    <row r="420">
      <c r="K420" s="292"/>
    </row>
    <row r="421">
      <c r="K421" s="292"/>
    </row>
    <row r="422">
      <c r="K422" s="292"/>
    </row>
    <row r="423">
      <c r="K423" s="292"/>
    </row>
    <row r="424">
      <c r="K424" s="292"/>
    </row>
    <row r="425">
      <c r="K425" s="292"/>
    </row>
    <row r="426">
      <c r="K426" s="292"/>
    </row>
    <row r="427">
      <c r="K427" s="292"/>
    </row>
    <row r="428">
      <c r="K428" s="292"/>
    </row>
    <row r="429">
      <c r="K429" s="292"/>
    </row>
    <row r="430">
      <c r="K430" s="292"/>
    </row>
    <row r="431">
      <c r="K431" s="292"/>
    </row>
    <row r="432">
      <c r="K432" s="292"/>
    </row>
    <row r="433">
      <c r="K433" s="292"/>
    </row>
    <row r="434">
      <c r="K434" s="292"/>
    </row>
    <row r="435">
      <c r="K435" s="292"/>
    </row>
    <row r="436">
      <c r="K436" s="292"/>
    </row>
    <row r="437">
      <c r="K437" s="292"/>
    </row>
    <row r="438">
      <c r="K438" s="292"/>
    </row>
    <row r="439">
      <c r="K439" s="292"/>
    </row>
    <row r="440">
      <c r="K440" s="292"/>
    </row>
    <row r="441">
      <c r="K441" s="292"/>
    </row>
    <row r="442">
      <c r="K442" s="292"/>
    </row>
    <row r="443">
      <c r="K443" s="292"/>
    </row>
    <row r="444">
      <c r="K444" s="292"/>
    </row>
    <row r="445">
      <c r="K445" s="292"/>
    </row>
    <row r="446">
      <c r="K446" s="292"/>
    </row>
    <row r="447">
      <c r="K447" s="292"/>
    </row>
    <row r="448">
      <c r="K448" s="292"/>
    </row>
    <row r="449">
      <c r="K449" s="292"/>
    </row>
    <row r="450">
      <c r="K450" s="292"/>
    </row>
    <row r="451">
      <c r="K451" s="292"/>
    </row>
    <row r="452">
      <c r="K452" s="292"/>
    </row>
    <row r="453">
      <c r="K453" s="292"/>
    </row>
    <row r="454">
      <c r="K454" s="292"/>
    </row>
    <row r="455">
      <c r="K455" s="292"/>
    </row>
    <row r="456">
      <c r="K456" s="292"/>
    </row>
    <row r="457">
      <c r="K457" s="292"/>
    </row>
    <row r="458">
      <c r="K458" s="292"/>
    </row>
    <row r="459">
      <c r="K459" s="292"/>
    </row>
    <row r="460">
      <c r="K460" s="292"/>
    </row>
    <row r="461">
      <c r="K461" s="292"/>
    </row>
    <row r="462">
      <c r="K462" s="292"/>
    </row>
    <row r="463">
      <c r="K463" s="292"/>
    </row>
    <row r="464">
      <c r="K464" s="292"/>
    </row>
    <row r="465">
      <c r="K465" s="292"/>
    </row>
    <row r="466">
      <c r="K466" s="292"/>
    </row>
    <row r="467">
      <c r="K467" s="292"/>
    </row>
    <row r="468">
      <c r="K468" s="292"/>
    </row>
    <row r="469">
      <c r="K469" s="292"/>
    </row>
    <row r="470">
      <c r="K470" s="292"/>
    </row>
    <row r="471">
      <c r="K471" s="292"/>
    </row>
    <row r="472">
      <c r="K472" s="292"/>
    </row>
    <row r="473">
      <c r="K473" s="292"/>
    </row>
    <row r="474">
      <c r="K474" s="292"/>
    </row>
    <row r="475">
      <c r="K475" s="292"/>
    </row>
    <row r="476">
      <c r="K476" s="292"/>
    </row>
    <row r="477">
      <c r="K477" s="292"/>
    </row>
    <row r="478">
      <c r="K478" s="292"/>
    </row>
    <row r="479">
      <c r="K479" s="292"/>
    </row>
    <row r="480">
      <c r="K480" s="292"/>
    </row>
    <row r="481">
      <c r="K481" s="292"/>
    </row>
    <row r="482">
      <c r="K482" s="292"/>
    </row>
    <row r="483">
      <c r="K483" s="292"/>
    </row>
    <row r="484">
      <c r="K484" s="292"/>
    </row>
    <row r="485">
      <c r="K485" s="292"/>
    </row>
    <row r="486">
      <c r="K486" s="292"/>
    </row>
    <row r="487">
      <c r="K487" s="292"/>
    </row>
    <row r="488">
      <c r="K488" s="292"/>
    </row>
    <row r="489">
      <c r="K489" s="292"/>
    </row>
    <row r="490">
      <c r="K490" s="292"/>
    </row>
    <row r="491">
      <c r="K491" s="292"/>
    </row>
    <row r="492">
      <c r="K492" s="292"/>
    </row>
    <row r="493">
      <c r="K493" s="292"/>
    </row>
    <row r="494">
      <c r="K494" s="292"/>
    </row>
    <row r="495">
      <c r="K495" s="292"/>
    </row>
    <row r="496">
      <c r="K496" s="292"/>
    </row>
    <row r="497">
      <c r="K497" s="292"/>
    </row>
    <row r="498">
      <c r="K498" s="292"/>
    </row>
    <row r="499">
      <c r="K499" s="292"/>
    </row>
    <row r="500">
      <c r="K500" s="292"/>
    </row>
    <row r="501">
      <c r="K501" s="292"/>
    </row>
    <row r="502">
      <c r="K502" s="292"/>
    </row>
    <row r="503">
      <c r="K503" s="292"/>
    </row>
    <row r="504">
      <c r="K504" s="292"/>
    </row>
    <row r="505">
      <c r="K505" s="292"/>
    </row>
    <row r="506">
      <c r="K506" s="292"/>
    </row>
    <row r="507">
      <c r="K507" s="292"/>
    </row>
    <row r="508">
      <c r="K508" s="292"/>
    </row>
    <row r="509">
      <c r="K509" s="292"/>
    </row>
    <row r="510">
      <c r="K510" s="292"/>
    </row>
    <row r="511">
      <c r="K511" s="292"/>
    </row>
    <row r="512">
      <c r="K512" s="292"/>
    </row>
    <row r="513">
      <c r="K513" s="292"/>
    </row>
    <row r="514">
      <c r="K514" s="292"/>
    </row>
    <row r="515">
      <c r="K515" s="292"/>
    </row>
    <row r="516">
      <c r="K516" s="292"/>
    </row>
    <row r="517">
      <c r="K517" s="292"/>
    </row>
    <row r="518">
      <c r="K518" s="292"/>
    </row>
    <row r="519">
      <c r="K519" s="292"/>
    </row>
    <row r="520">
      <c r="K520" s="292"/>
    </row>
    <row r="521">
      <c r="K521" s="292"/>
    </row>
    <row r="522">
      <c r="K522" s="292"/>
    </row>
    <row r="523">
      <c r="K523" s="292"/>
    </row>
    <row r="524">
      <c r="K524" s="292"/>
    </row>
    <row r="525">
      <c r="K525" s="292"/>
    </row>
    <row r="526">
      <c r="K526" s="292"/>
    </row>
    <row r="527">
      <c r="K527" s="292"/>
    </row>
    <row r="528">
      <c r="K528" s="292"/>
    </row>
    <row r="529">
      <c r="K529" s="292"/>
    </row>
    <row r="530">
      <c r="K530" s="292"/>
    </row>
    <row r="531">
      <c r="K531" s="292"/>
    </row>
    <row r="532">
      <c r="K532" s="292"/>
    </row>
    <row r="533">
      <c r="K533" s="292"/>
    </row>
    <row r="534">
      <c r="K534" s="292"/>
    </row>
    <row r="535">
      <c r="K535" s="292"/>
    </row>
    <row r="536">
      <c r="K536" s="292"/>
    </row>
    <row r="537">
      <c r="K537" s="292"/>
    </row>
    <row r="538">
      <c r="K538" s="292"/>
    </row>
    <row r="539">
      <c r="K539" s="292"/>
    </row>
    <row r="540">
      <c r="K540" s="292"/>
    </row>
    <row r="541">
      <c r="K541" s="292"/>
    </row>
    <row r="542">
      <c r="K542" s="292"/>
    </row>
    <row r="543">
      <c r="K543" s="292"/>
    </row>
    <row r="544">
      <c r="K544" s="292"/>
    </row>
    <row r="545">
      <c r="K545" s="292"/>
    </row>
    <row r="546">
      <c r="K546" s="292"/>
    </row>
    <row r="547">
      <c r="K547" s="292"/>
    </row>
    <row r="548">
      <c r="K548" s="292"/>
    </row>
    <row r="549">
      <c r="K549" s="292"/>
    </row>
    <row r="550">
      <c r="K550" s="292"/>
    </row>
    <row r="551">
      <c r="K551" s="292"/>
    </row>
    <row r="552">
      <c r="K552" s="292"/>
    </row>
    <row r="553">
      <c r="K553" s="292"/>
    </row>
    <row r="554">
      <c r="K554" s="292"/>
    </row>
    <row r="555">
      <c r="K555" s="292"/>
    </row>
    <row r="556">
      <c r="K556" s="292"/>
    </row>
    <row r="557">
      <c r="K557" s="292"/>
    </row>
    <row r="558">
      <c r="K558" s="292"/>
    </row>
    <row r="559">
      <c r="K559" s="292"/>
    </row>
    <row r="560">
      <c r="K560" s="292"/>
    </row>
    <row r="561">
      <c r="K561" s="292"/>
    </row>
    <row r="562">
      <c r="K562" s="292"/>
    </row>
    <row r="563">
      <c r="K563" s="292"/>
    </row>
    <row r="564">
      <c r="K564" s="292"/>
    </row>
    <row r="565">
      <c r="K565" s="292"/>
    </row>
    <row r="566">
      <c r="K566" s="292"/>
    </row>
    <row r="567">
      <c r="K567" s="292"/>
    </row>
    <row r="568">
      <c r="K568" s="292"/>
    </row>
    <row r="569">
      <c r="K569" s="292"/>
    </row>
    <row r="570">
      <c r="K570" s="292"/>
    </row>
    <row r="571">
      <c r="K571" s="292"/>
    </row>
    <row r="572">
      <c r="K572" s="292"/>
    </row>
    <row r="573">
      <c r="K573" s="292"/>
    </row>
    <row r="574">
      <c r="K574" s="292"/>
    </row>
    <row r="575">
      <c r="K575" s="292"/>
    </row>
    <row r="576">
      <c r="K576" s="292"/>
    </row>
    <row r="577">
      <c r="K577" s="292"/>
    </row>
    <row r="578">
      <c r="K578" s="292"/>
    </row>
    <row r="579">
      <c r="K579" s="292"/>
    </row>
    <row r="580">
      <c r="K580" s="292"/>
    </row>
    <row r="581">
      <c r="K581" s="292"/>
    </row>
    <row r="582">
      <c r="K582" s="292"/>
    </row>
    <row r="583">
      <c r="K583" s="292"/>
    </row>
    <row r="584">
      <c r="K584" s="292"/>
    </row>
    <row r="585">
      <c r="K585" s="292"/>
    </row>
    <row r="586">
      <c r="K586" s="292"/>
    </row>
    <row r="587">
      <c r="K587" s="292"/>
    </row>
    <row r="588">
      <c r="K588" s="292"/>
    </row>
    <row r="589">
      <c r="K589" s="292"/>
    </row>
    <row r="590">
      <c r="K590" s="292"/>
    </row>
    <row r="591">
      <c r="K591" s="292"/>
    </row>
    <row r="592">
      <c r="K592" s="292"/>
    </row>
    <row r="593">
      <c r="K593" s="292"/>
    </row>
    <row r="594">
      <c r="K594" s="292"/>
    </row>
    <row r="595">
      <c r="K595" s="292"/>
    </row>
    <row r="596">
      <c r="K596" s="292"/>
    </row>
    <row r="597">
      <c r="K597" s="292"/>
    </row>
    <row r="598">
      <c r="K598" s="292"/>
    </row>
    <row r="599">
      <c r="K599" s="292"/>
    </row>
    <row r="600">
      <c r="K600" s="292"/>
    </row>
    <row r="601">
      <c r="K601" s="292"/>
    </row>
    <row r="602">
      <c r="K602" s="292"/>
    </row>
    <row r="603">
      <c r="K603" s="292"/>
    </row>
    <row r="604">
      <c r="K604" s="292"/>
    </row>
    <row r="605">
      <c r="K605" s="292"/>
    </row>
    <row r="606">
      <c r="K606" s="292"/>
    </row>
    <row r="607">
      <c r="K607" s="292"/>
    </row>
    <row r="608">
      <c r="K608" s="292"/>
    </row>
    <row r="609">
      <c r="K609" s="292"/>
    </row>
    <row r="610">
      <c r="K610" s="292"/>
    </row>
    <row r="611">
      <c r="K611" s="292"/>
    </row>
    <row r="612">
      <c r="K612" s="292"/>
    </row>
    <row r="613">
      <c r="K613" s="292"/>
    </row>
    <row r="614">
      <c r="K614" s="292"/>
    </row>
    <row r="615">
      <c r="K615" s="292"/>
    </row>
    <row r="616">
      <c r="K616" s="292"/>
    </row>
    <row r="617">
      <c r="K617" s="292"/>
    </row>
    <row r="618">
      <c r="K618" s="292"/>
    </row>
    <row r="619">
      <c r="K619" s="292"/>
    </row>
    <row r="620">
      <c r="K620" s="292"/>
    </row>
    <row r="621">
      <c r="K621" s="292"/>
    </row>
    <row r="622">
      <c r="K622" s="292"/>
    </row>
    <row r="623">
      <c r="K623" s="292"/>
    </row>
    <row r="624">
      <c r="K624" s="292"/>
    </row>
    <row r="625">
      <c r="K625" s="292"/>
    </row>
    <row r="626">
      <c r="K626" s="292"/>
    </row>
    <row r="627">
      <c r="K627" s="292"/>
    </row>
    <row r="628">
      <c r="K628" s="292"/>
    </row>
    <row r="629">
      <c r="K629" s="292"/>
    </row>
    <row r="630">
      <c r="K630" s="292"/>
    </row>
    <row r="631">
      <c r="K631" s="292"/>
    </row>
    <row r="632">
      <c r="K632" s="292"/>
    </row>
    <row r="633">
      <c r="K633" s="292"/>
    </row>
    <row r="634">
      <c r="K634" s="292"/>
    </row>
    <row r="635">
      <c r="K635" s="292"/>
    </row>
    <row r="636">
      <c r="K636" s="292"/>
    </row>
    <row r="637">
      <c r="K637" s="292"/>
    </row>
    <row r="638">
      <c r="K638" s="292"/>
    </row>
    <row r="639">
      <c r="K639" s="292"/>
    </row>
    <row r="640">
      <c r="K640" s="292"/>
    </row>
    <row r="641">
      <c r="K641" s="292"/>
    </row>
    <row r="642">
      <c r="K642" s="292"/>
    </row>
    <row r="643">
      <c r="K643" s="292"/>
    </row>
    <row r="644">
      <c r="K644" s="292"/>
    </row>
    <row r="645">
      <c r="K645" s="292"/>
    </row>
    <row r="646">
      <c r="K646" s="292"/>
    </row>
    <row r="647">
      <c r="K647" s="292"/>
    </row>
    <row r="648">
      <c r="K648" s="292"/>
    </row>
    <row r="649">
      <c r="K649" s="292"/>
    </row>
    <row r="650">
      <c r="K650" s="292"/>
    </row>
    <row r="651">
      <c r="K651" s="292"/>
    </row>
    <row r="652">
      <c r="K652" s="292"/>
    </row>
    <row r="653">
      <c r="K653" s="292"/>
    </row>
    <row r="654">
      <c r="K654" s="292"/>
    </row>
    <row r="655">
      <c r="K655" s="292"/>
    </row>
    <row r="656">
      <c r="K656" s="292"/>
    </row>
    <row r="657">
      <c r="K657" s="292"/>
    </row>
    <row r="658">
      <c r="K658" s="292"/>
    </row>
    <row r="659">
      <c r="K659" s="292"/>
    </row>
    <row r="660">
      <c r="K660" s="292"/>
    </row>
    <row r="661">
      <c r="K661" s="292"/>
    </row>
    <row r="662">
      <c r="K662" s="292"/>
    </row>
    <row r="663">
      <c r="K663" s="292"/>
    </row>
    <row r="664">
      <c r="K664" s="292"/>
    </row>
    <row r="665">
      <c r="K665" s="292"/>
    </row>
    <row r="666">
      <c r="K666" s="292"/>
    </row>
    <row r="667">
      <c r="K667" s="292"/>
    </row>
    <row r="668">
      <c r="K668" s="292"/>
    </row>
    <row r="669">
      <c r="K669" s="292"/>
    </row>
    <row r="670">
      <c r="K670" s="292"/>
    </row>
    <row r="671">
      <c r="K671" s="292"/>
    </row>
    <row r="672">
      <c r="K672" s="292"/>
    </row>
    <row r="673">
      <c r="K673" s="292"/>
    </row>
    <row r="674">
      <c r="K674" s="292"/>
    </row>
    <row r="675">
      <c r="K675" s="292"/>
    </row>
    <row r="676">
      <c r="K676" s="292"/>
    </row>
    <row r="677">
      <c r="K677" s="292"/>
    </row>
    <row r="678">
      <c r="K678" s="292"/>
    </row>
    <row r="679">
      <c r="K679" s="292"/>
    </row>
    <row r="680">
      <c r="K680" s="292"/>
    </row>
    <row r="681">
      <c r="K681" s="292"/>
    </row>
    <row r="682">
      <c r="K682" s="292"/>
    </row>
    <row r="683">
      <c r="K683" s="292"/>
    </row>
    <row r="684">
      <c r="K684" s="292"/>
    </row>
    <row r="685">
      <c r="K685" s="292"/>
    </row>
    <row r="686">
      <c r="K686" s="292"/>
    </row>
    <row r="687">
      <c r="K687" s="292"/>
    </row>
    <row r="688">
      <c r="K688" s="292"/>
    </row>
    <row r="689">
      <c r="K689" s="292"/>
    </row>
    <row r="690">
      <c r="K690" s="292"/>
    </row>
    <row r="691">
      <c r="K691" s="292"/>
    </row>
    <row r="692">
      <c r="K692" s="292"/>
    </row>
    <row r="693">
      <c r="K693" s="292"/>
    </row>
    <row r="694">
      <c r="K694" s="292"/>
    </row>
    <row r="695">
      <c r="K695" s="292"/>
    </row>
    <row r="696">
      <c r="K696" s="292"/>
    </row>
    <row r="697">
      <c r="K697" s="292"/>
    </row>
    <row r="698">
      <c r="K698" s="292"/>
    </row>
    <row r="699">
      <c r="K699" s="292"/>
    </row>
    <row r="700">
      <c r="K700" s="292"/>
    </row>
    <row r="701">
      <c r="K701" s="292"/>
    </row>
    <row r="702">
      <c r="K702" s="292"/>
    </row>
    <row r="703">
      <c r="K703" s="292"/>
    </row>
    <row r="704">
      <c r="K704" s="292"/>
    </row>
    <row r="705">
      <c r="K705" s="292"/>
    </row>
    <row r="706">
      <c r="K706" s="292"/>
    </row>
    <row r="707">
      <c r="K707" s="292"/>
    </row>
    <row r="708">
      <c r="K708" s="292"/>
    </row>
    <row r="709">
      <c r="K709" s="292"/>
    </row>
    <row r="710">
      <c r="K710" s="292"/>
    </row>
    <row r="711">
      <c r="K711" s="292"/>
    </row>
    <row r="712">
      <c r="K712" s="292"/>
    </row>
    <row r="713">
      <c r="K713" s="292"/>
    </row>
    <row r="714">
      <c r="K714" s="292"/>
    </row>
    <row r="715">
      <c r="K715" s="292"/>
    </row>
    <row r="716">
      <c r="K716" s="292"/>
    </row>
    <row r="717">
      <c r="K717" s="292"/>
    </row>
    <row r="718">
      <c r="K718" s="292"/>
    </row>
    <row r="719">
      <c r="K719" s="292"/>
    </row>
    <row r="720">
      <c r="K720" s="292"/>
    </row>
    <row r="721">
      <c r="K721" s="292"/>
    </row>
    <row r="722">
      <c r="K722" s="292"/>
    </row>
    <row r="723">
      <c r="K723" s="292"/>
    </row>
    <row r="724">
      <c r="K724" s="292"/>
    </row>
    <row r="725">
      <c r="K725" s="292"/>
    </row>
    <row r="726">
      <c r="K726" s="292"/>
    </row>
    <row r="727">
      <c r="K727" s="292"/>
    </row>
    <row r="728">
      <c r="K728" s="292"/>
    </row>
    <row r="729">
      <c r="K729" s="292"/>
    </row>
    <row r="730">
      <c r="K730" s="292"/>
    </row>
    <row r="731">
      <c r="K731" s="292"/>
    </row>
    <row r="732">
      <c r="K732" s="292"/>
    </row>
    <row r="733">
      <c r="K733" s="292"/>
    </row>
    <row r="734">
      <c r="K734" s="292"/>
    </row>
    <row r="735">
      <c r="K735" s="292"/>
    </row>
    <row r="736">
      <c r="K736" s="292"/>
    </row>
    <row r="737">
      <c r="K737" s="292"/>
    </row>
    <row r="738">
      <c r="K738" s="292"/>
    </row>
    <row r="739">
      <c r="K739" s="292"/>
    </row>
    <row r="740">
      <c r="K740" s="292"/>
    </row>
    <row r="741">
      <c r="K741" s="292"/>
    </row>
    <row r="742">
      <c r="K742" s="292"/>
    </row>
    <row r="743">
      <c r="K743" s="292"/>
    </row>
    <row r="744">
      <c r="K744" s="292"/>
    </row>
    <row r="745">
      <c r="K745" s="292"/>
    </row>
    <row r="746">
      <c r="K746" s="292"/>
    </row>
    <row r="747">
      <c r="K747" s="292"/>
    </row>
    <row r="748">
      <c r="K748" s="292"/>
    </row>
    <row r="749">
      <c r="K749" s="292"/>
    </row>
    <row r="750">
      <c r="K750" s="292"/>
    </row>
    <row r="751">
      <c r="K751" s="292"/>
    </row>
    <row r="752">
      <c r="K752" s="292"/>
    </row>
    <row r="753">
      <c r="K753" s="292"/>
    </row>
    <row r="754">
      <c r="K754" s="292"/>
    </row>
    <row r="755">
      <c r="K755" s="292"/>
    </row>
    <row r="756">
      <c r="K756" s="292"/>
    </row>
    <row r="757">
      <c r="K757" s="292"/>
    </row>
    <row r="758">
      <c r="K758" s="292"/>
    </row>
    <row r="759">
      <c r="K759" s="292"/>
    </row>
    <row r="760">
      <c r="K760" s="292"/>
    </row>
    <row r="761">
      <c r="K761" s="292"/>
    </row>
    <row r="762">
      <c r="K762" s="292"/>
    </row>
    <row r="763">
      <c r="K763" s="292"/>
    </row>
    <row r="764">
      <c r="K764" s="292"/>
    </row>
    <row r="765">
      <c r="K765" s="292"/>
    </row>
    <row r="766">
      <c r="K766" s="292"/>
    </row>
    <row r="767">
      <c r="K767" s="292"/>
    </row>
    <row r="768">
      <c r="K768" s="292"/>
    </row>
    <row r="769">
      <c r="K769" s="292"/>
    </row>
    <row r="770">
      <c r="K770" s="292"/>
    </row>
    <row r="771">
      <c r="K771" s="292"/>
    </row>
    <row r="772">
      <c r="K772" s="292"/>
    </row>
    <row r="773">
      <c r="K773" s="292"/>
    </row>
    <row r="774">
      <c r="K774" s="292"/>
    </row>
    <row r="775">
      <c r="K775" s="292"/>
    </row>
    <row r="776">
      <c r="K776" s="292"/>
    </row>
    <row r="777">
      <c r="K777" s="292"/>
    </row>
    <row r="778">
      <c r="K778" s="292"/>
    </row>
    <row r="779">
      <c r="K779" s="292"/>
    </row>
    <row r="780">
      <c r="K780" s="292"/>
    </row>
    <row r="781">
      <c r="K781" s="292"/>
    </row>
    <row r="782">
      <c r="K782" s="292"/>
    </row>
    <row r="783">
      <c r="K783" s="292"/>
    </row>
    <row r="784">
      <c r="K784" s="292"/>
    </row>
    <row r="785">
      <c r="K785" s="292"/>
    </row>
    <row r="786">
      <c r="K786" s="292"/>
    </row>
    <row r="787">
      <c r="K787" s="292"/>
    </row>
    <row r="788">
      <c r="K788" s="292"/>
    </row>
    <row r="789">
      <c r="K789" s="292"/>
    </row>
    <row r="790">
      <c r="K790" s="292"/>
    </row>
    <row r="791">
      <c r="K791" s="292"/>
    </row>
    <row r="792">
      <c r="K792" s="292"/>
    </row>
    <row r="793">
      <c r="K793" s="292"/>
    </row>
    <row r="794">
      <c r="K794" s="292"/>
    </row>
    <row r="795">
      <c r="K795" s="292"/>
    </row>
    <row r="796">
      <c r="K796" s="292"/>
    </row>
    <row r="797">
      <c r="K797" s="292"/>
    </row>
    <row r="798">
      <c r="K798" s="292"/>
    </row>
    <row r="799">
      <c r="K799" s="292"/>
    </row>
    <row r="800">
      <c r="K800" s="292"/>
    </row>
    <row r="801">
      <c r="K801" s="292"/>
    </row>
    <row r="802">
      <c r="K802" s="292"/>
    </row>
    <row r="803">
      <c r="K803" s="292"/>
    </row>
    <row r="804">
      <c r="K804" s="292"/>
    </row>
    <row r="805">
      <c r="K805" s="292"/>
    </row>
    <row r="806">
      <c r="K806" s="292"/>
    </row>
    <row r="807">
      <c r="K807" s="292"/>
    </row>
    <row r="808">
      <c r="K808" s="292"/>
    </row>
    <row r="809">
      <c r="K809" s="292"/>
    </row>
    <row r="810">
      <c r="K810" s="292"/>
    </row>
    <row r="811">
      <c r="K811" s="292"/>
    </row>
    <row r="812">
      <c r="K812" s="292"/>
    </row>
    <row r="813">
      <c r="K813" s="292"/>
    </row>
    <row r="814">
      <c r="K814" s="292"/>
    </row>
    <row r="815">
      <c r="K815" s="292"/>
    </row>
    <row r="816">
      <c r="K816" s="292"/>
    </row>
    <row r="817">
      <c r="K817" s="292"/>
    </row>
    <row r="818">
      <c r="K818" s="292"/>
    </row>
    <row r="819">
      <c r="K819" s="292"/>
    </row>
    <row r="820">
      <c r="K820" s="292"/>
    </row>
    <row r="821">
      <c r="K821" s="292"/>
    </row>
    <row r="822">
      <c r="K822" s="292"/>
    </row>
    <row r="823">
      <c r="K823" s="292"/>
    </row>
    <row r="824">
      <c r="K824" s="292"/>
    </row>
    <row r="825">
      <c r="K825" s="292"/>
    </row>
    <row r="826">
      <c r="K826" s="292"/>
    </row>
    <row r="827">
      <c r="K827" s="292"/>
    </row>
    <row r="828">
      <c r="K828" s="292"/>
    </row>
    <row r="829">
      <c r="K829" s="292"/>
    </row>
    <row r="830">
      <c r="K830" s="292"/>
    </row>
    <row r="831">
      <c r="K831" s="292"/>
    </row>
    <row r="832">
      <c r="K832" s="292"/>
    </row>
    <row r="833">
      <c r="K833" s="292"/>
    </row>
    <row r="834">
      <c r="K834" s="292"/>
    </row>
    <row r="835">
      <c r="K835" s="292"/>
    </row>
    <row r="836">
      <c r="K836" s="292"/>
    </row>
    <row r="837">
      <c r="K837" s="292"/>
    </row>
    <row r="838">
      <c r="K838" s="292"/>
    </row>
    <row r="839">
      <c r="K839" s="292"/>
    </row>
    <row r="840">
      <c r="K840" s="292"/>
    </row>
    <row r="841">
      <c r="K841" s="292"/>
    </row>
    <row r="842">
      <c r="K842" s="292"/>
    </row>
    <row r="843">
      <c r="K843" s="292"/>
    </row>
    <row r="844">
      <c r="K844" s="292"/>
    </row>
    <row r="845">
      <c r="K845" s="292"/>
    </row>
    <row r="846">
      <c r="K846" s="292"/>
    </row>
    <row r="847">
      <c r="K847" s="292"/>
    </row>
    <row r="848">
      <c r="K848" s="292"/>
    </row>
    <row r="849">
      <c r="K849" s="292"/>
    </row>
    <row r="850">
      <c r="K850" s="292"/>
    </row>
    <row r="851">
      <c r="K851" s="292"/>
    </row>
    <row r="852">
      <c r="K852" s="292"/>
    </row>
    <row r="853">
      <c r="K853" s="292"/>
    </row>
    <row r="854">
      <c r="K854" s="292"/>
    </row>
    <row r="855">
      <c r="K855" s="292"/>
    </row>
    <row r="856">
      <c r="K856" s="292"/>
    </row>
    <row r="857">
      <c r="K857" s="292"/>
    </row>
    <row r="858">
      <c r="K858" s="292"/>
    </row>
    <row r="859">
      <c r="K859" s="292"/>
    </row>
    <row r="860">
      <c r="K860" s="292"/>
    </row>
    <row r="861">
      <c r="K861" s="292"/>
    </row>
    <row r="862">
      <c r="K862" s="292"/>
    </row>
    <row r="863">
      <c r="K863" s="292"/>
    </row>
    <row r="864">
      <c r="K864" s="292"/>
    </row>
    <row r="865">
      <c r="K865" s="292"/>
    </row>
    <row r="866">
      <c r="K866" s="292"/>
    </row>
    <row r="867">
      <c r="K867" s="292"/>
    </row>
    <row r="868">
      <c r="K868" s="292"/>
    </row>
    <row r="869">
      <c r="K869" s="292"/>
    </row>
    <row r="870">
      <c r="K870" s="292"/>
    </row>
    <row r="871">
      <c r="K871" s="292"/>
    </row>
    <row r="872">
      <c r="K872" s="292"/>
    </row>
    <row r="873">
      <c r="K873" s="292"/>
    </row>
    <row r="874">
      <c r="K874" s="292"/>
    </row>
    <row r="875">
      <c r="K875" s="292"/>
    </row>
    <row r="876">
      <c r="K876" s="292"/>
    </row>
    <row r="877">
      <c r="K877" s="292"/>
    </row>
    <row r="878">
      <c r="K878" s="292"/>
    </row>
    <row r="879">
      <c r="K879" s="292"/>
    </row>
    <row r="880">
      <c r="K880" s="292"/>
    </row>
    <row r="881">
      <c r="K881" s="292"/>
    </row>
    <row r="882">
      <c r="K882" s="292"/>
    </row>
    <row r="883">
      <c r="K883" s="292"/>
    </row>
    <row r="884">
      <c r="K884" s="292"/>
    </row>
    <row r="885">
      <c r="K885" s="292"/>
    </row>
    <row r="886">
      <c r="K886" s="292"/>
    </row>
    <row r="887">
      <c r="K887" s="292"/>
    </row>
    <row r="888">
      <c r="K888" s="292"/>
    </row>
    <row r="889">
      <c r="K889" s="292"/>
    </row>
    <row r="890">
      <c r="K890" s="292"/>
    </row>
    <row r="891">
      <c r="K891" s="292"/>
    </row>
    <row r="892">
      <c r="K892" s="292"/>
    </row>
    <row r="893">
      <c r="K893" s="292"/>
    </row>
    <row r="894">
      <c r="K894" s="292"/>
    </row>
    <row r="895">
      <c r="K895" s="292"/>
    </row>
    <row r="896">
      <c r="K896" s="292"/>
    </row>
    <row r="897">
      <c r="K897" s="292"/>
    </row>
    <row r="898">
      <c r="K898" s="292"/>
    </row>
    <row r="899">
      <c r="K899" s="292"/>
    </row>
    <row r="900">
      <c r="K900" s="292"/>
    </row>
    <row r="901">
      <c r="K901" s="292"/>
    </row>
    <row r="902">
      <c r="K902" s="292"/>
    </row>
    <row r="903">
      <c r="K903" s="292"/>
    </row>
    <row r="904">
      <c r="K904" s="292"/>
    </row>
    <row r="905">
      <c r="K905" s="292"/>
    </row>
    <row r="906">
      <c r="K906" s="292"/>
    </row>
    <row r="907">
      <c r="K907" s="292"/>
    </row>
    <row r="908">
      <c r="K908" s="292"/>
    </row>
    <row r="909">
      <c r="K909" s="292"/>
    </row>
    <row r="910">
      <c r="K910" s="292"/>
    </row>
    <row r="911">
      <c r="K911" s="292"/>
    </row>
    <row r="912">
      <c r="K912" s="292"/>
    </row>
    <row r="913">
      <c r="K913" s="292"/>
    </row>
    <row r="914">
      <c r="K914" s="292"/>
    </row>
    <row r="915">
      <c r="K915" s="292"/>
    </row>
    <row r="916">
      <c r="K916" s="292"/>
    </row>
    <row r="917">
      <c r="K917" s="292"/>
    </row>
    <row r="918">
      <c r="K918" s="292"/>
    </row>
    <row r="919">
      <c r="K919" s="292"/>
    </row>
    <row r="920">
      <c r="K920" s="292"/>
    </row>
    <row r="921">
      <c r="K921" s="292"/>
    </row>
    <row r="922">
      <c r="K922" s="292"/>
    </row>
    <row r="923">
      <c r="K923" s="292"/>
    </row>
    <row r="924">
      <c r="K924" s="292"/>
    </row>
    <row r="925">
      <c r="K925" s="292"/>
    </row>
    <row r="926">
      <c r="K926" s="292"/>
    </row>
    <row r="927">
      <c r="K927" s="292"/>
    </row>
    <row r="928">
      <c r="K928" s="292"/>
    </row>
    <row r="929">
      <c r="K929" s="292"/>
    </row>
    <row r="930">
      <c r="K930" s="292"/>
    </row>
    <row r="931">
      <c r="K931" s="292"/>
    </row>
    <row r="932">
      <c r="K932" s="292"/>
    </row>
    <row r="933">
      <c r="K933" s="292"/>
    </row>
    <row r="934">
      <c r="K934" s="292"/>
    </row>
    <row r="935">
      <c r="K935" s="292"/>
    </row>
    <row r="936">
      <c r="K936" s="292"/>
    </row>
    <row r="937">
      <c r="K937" s="292"/>
    </row>
    <row r="938">
      <c r="K938" s="292"/>
    </row>
    <row r="939">
      <c r="K939" s="292"/>
    </row>
    <row r="940">
      <c r="K940" s="292"/>
    </row>
    <row r="941">
      <c r="K941" s="292"/>
    </row>
    <row r="942">
      <c r="K942" s="292"/>
    </row>
    <row r="943">
      <c r="K943" s="292"/>
    </row>
    <row r="944">
      <c r="K944" s="292"/>
    </row>
    <row r="945">
      <c r="K945" s="292"/>
    </row>
    <row r="946">
      <c r="K946" s="292"/>
    </row>
    <row r="947">
      <c r="K947" s="292"/>
    </row>
    <row r="948">
      <c r="K948" s="292"/>
    </row>
    <row r="949">
      <c r="K949" s="292"/>
    </row>
    <row r="950">
      <c r="K950" s="292"/>
    </row>
    <row r="951">
      <c r="K951" s="292"/>
    </row>
    <row r="952">
      <c r="K952" s="292"/>
    </row>
    <row r="953">
      <c r="K953" s="292"/>
    </row>
    <row r="954">
      <c r="K954" s="292"/>
    </row>
    <row r="955">
      <c r="K955" s="292"/>
    </row>
    <row r="956">
      <c r="K956" s="292"/>
    </row>
    <row r="957">
      <c r="K957" s="292"/>
    </row>
    <row r="958">
      <c r="K958" s="292"/>
    </row>
    <row r="959">
      <c r="K959" s="292"/>
    </row>
    <row r="960">
      <c r="K960" s="292"/>
    </row>
    <row r="961">
      <c r="K961" s="292"/>
    </row>
    <row r="962">
      <c r="K962" s="292"/>
    </row>
    <row r="963">
      <c r="K963" s="292"/>
    </row>
    <row r="964">
      <c r="K964" s="292"/>
    </row>
    <row r="965">
      <c r="K965" s="292"/>
    </row>
    <row r="966">
      <c r="K966" s="292"/>
    </row>
    <row r="967">
      <c r="K967" s="292"/>
    </row>
    <row r="968">
      <c r="K968" s="292"/>
    </row>
    <row r="969">
      <c r="K969" s="292"/>
    </row>
    <row r="970">
      <c r="K970" s="292"/>
    </row>
    <row r="971">
      <c r="K971" s="292"/>
    </row>
    <row r="972">
      <c r="K972" s="292"/>
    </row>
    <row r="973">
      <c r="K973" s="292"/>
    </row>
    <row r="974">
      <c r="K974" s="292"/>
    </row>
    <row r="975">
      <c r="K975" s="292"/>
    </row>
    <row r="976">
      <c r="K976" s="292"/>
    </row>
    <row r="977">
      <c r="K977" s="292"/>
    </row>
    <row r="978">
      <c r="K978" s="292"/>
    </row>
    <row r="979">
      <c r="K979" s="292"/>
    </row>
    <row r="980">
      <c r="K980" s="292"/>
    </row>
    <row r="981">
      <c r="K981" s="292"/>
    </row>
    <row r="982">
      <c r="K982" s="292"/>
    </row>
    <row r="983">
      <c r="K983" s="292"/>
    </row>
    <row r="984">
      <c r="K984" s="292"/>
    </row>
    <row r="985">
      <c r="K985" s="292"/>
    </row>
    <row r="986">
      <c r="K986" s="292"/>
    </row>
    <row r="987">
      <c r="K987" s="292"/>
    </row>
    <row r="988">
      <c r="K988" s="292"/>
    </row>
    <row r="989">
      <c r="K989" s="292"/>
    </row>
    <row r="990">
      <c r="K990" s="292"/>
    </row>
    <row r="991">
      <c r="K991" s="292"/>
    </row>
    <row r="992">
      <c r="K992" s="292"/>
    </row>
    <row r="993">
      <c r="K993" s="292"/>
    </row>
    <row r="994">
      <c r="K994" s="292"/>
    </row>
    <row r="995">
      <c r="K995" s="292"/>
    </row>
    <row r="996">
      <c r="K996" s="292"/>
    </row>
    <row r="997">
      <c r="K997" s="292"/>
    </row>
    <row r="998">
      <c r="K998" s="292"/>
    </row>
    <row r="999">
      <c r="K999" s="292"/>
    </row>
    <row r="1000">
      <c r="K1000" s="292"/>
    </row>
  </sheetData>
  <conditionalFormatting sqref="K1:K1000 L2:L13">
    <cfRule type="colorScale" priority="1">
      <colorScale>
        <cfvo type="formula" val="-0.1"/>
        <cfvo type="formula" val="0"/>
        <cfvo type="formula" val="0.1"/>
        <color rgb="FFE67C73"/>
        <color rgb="FFFFFFFF"/>
        <color rgb="FF57BB8A"/>
      </colorScale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.57"/>
    <col customWidth="1" min="2" max="2" width="5.0"/>
    <col customWidth="1" min="3" max="3" width="14.86"/>
    <col customWidth="1" min="4" max="4" width="11.57"/>
    <col customWidth="1" min="5" max="5" width="7.43"/>
    <col customWidth="1" min="6" max="6" width="13.86"/>
    <col customWidth="1" min="8" max="8" width="8.0"/>
  </cols>
  <sheetData>
    <row r="1">
      <c r="A1" s="18" t="s">
        <v>96</v>
      </c>
      <c r="B1" s="18" t="s">
        <v>97</v>
      </c>
      <c r="C1" s="18" t="s">
        <v>81</v>
      </c>
      <c r="D1" s="18" t="s">
        <v>98</v>
      </c>
      <c r="E1" s="18" t="s">
        <v>99</v>
      </c>
      <c r="F1" s="18" t="s">
        <v>100</v>
      </c>
      <c r="G1" s="18" t="s">
        <v>101</v>
      </c>
      <c r="H1" s="18" t="s">
        <v>102</v>
      </c>
    </row>
    <row r="2">
      <c r="A2" s="18">
        <v>30.0</v>
      </c>
      <c r="B2" s="18">
        <v>21.0</v>
      </c>
      <c r="C2" s="297">
        <v>421097.0</v>
      </c>
      <c r="D2" s="95">
        <f>C2*'Пополнения'!M$4</f>
        <v>78130.8348</v>
      </c>
      <c r="E2" s="18">
        <v>520000.0</v>
      </c>
      <c r="F2" s="298">
        <f t="shared" ref="F2:F22" si="1">D2/12</f>
        <v>6510.9029</v>
      </c>
      <c r="G2" s="298">
        <f>C2*ILOG!O$2</f>
        <v>19104.09162</v>
      </c>
      <c r="H2" s="288">
        <f t="shared" ref="H2:H22" si="2">G2/12</f>
        <v>1592.007635</v>
      </c>
    </row>
    <row r="3">
      <c r="A3" s="18">
        <v>31.0</v>
      </c>
      <c r="B3" s="18">
        <v>22.0</v>
      </c>
      <c r="C3" s="298">
        <f t="shared" ref="C3:C22" si="3">C2+D2+E2</f>
        <v>1019227.835</v>
      </c>
      <c r="D3" s="95">
        <f>C3*'Пополнения'!M$4</f>
        <v>189108.7364</v>
      </c>
      <c r="E3" s="18">
        <v>520000.0</v>
      </c>
      <c r="F3" s="298">
        <f t="shared" si="1"/>
        <v>15759.06137</v>
      </c>
      <c r="G3" s="298">
        <f>C3*ILOG!O$2</f>
        <v>46239.75459</v>
      </c>
      <c r="H3" s="288">
        <f t="shared" si="2"/>
        <v>3853.312883</v>
      </c>
    </row>
    <row r="4">
      <c r="A4" s="18">
        <v>32.0</v>
      </c>
      <c r="B4" s="18">
        <v>23.0</v>
      </c>
      <c r="C4" s="298">
        <f t="shared" si="3"/>
        <v>1728336.571</v>
      </c>
      <c r="D4" s="95">
        <f>C4*'Пополнения'!M$4</f>
        <v>320677.609</v>
      </c>
      <c r="E4" s="18">
        <v>520000.0</v>
      </c>
      <c r="F4" s="298">
        <f t="shared" si="1"/>
        <v>26723.13408</v>
      </c>
      <c r="G4" s="298">
        <f>C4*ILOG!O$2</f>
        <v>78410.20053</v>
      </c>
      <c r="H4" s="288">
        <f t="shared" si="2"/>
        <v>6534.183377</v>
      </c>
    </row>
    <row r="5">
      <c r="A5" s="18">
        <v>33.0</v>
      </c>
      <c r="B5" s="18">
        <v>24.0</v>
      </c>
      <c r="C5" s="298">
        <f t="shared" si="3"/>
        <v>2569014.18</v>
      </c>
      <c r="D5" s="95">
        <f>C5*'Пополнения'!M$4</f>
        <v>476657.9256</v>
      </c>
      <c r="E5" s="18">
        <v>520000.0</v>
      </c>
      <c r="F5" s="298">
        <f t="shared" si="1"/>
        <v>39721.4938</v>
      </c>
      <c r="G5" s="298">
        <f>C5*ILOG!O$2</f>
        <v>116549.589</v>
      </c>
      <c r="H5" s="288">
        <f t="shared" si="2"/>
        <v>9712.46575</v>
      </c>
    </row>
    <row r="6">
      <c r="A6" s="18">
        <v>34.0</v>
      </c>
      <c r="B6" s="18">
        <v>25.0</v>
      </c>
      <c r="C6" s="298">
        <f t="shared" si="3"/>
        <v>3565672.106</v>
      </c>
      <c r="D6" s="95">
        <f>C6*'Пополнения'!M$4</f>
        <v>661579.0144</v>
      </c>
      <c r="E6" s="18">
        <v>520000.0</v>
      </c>
      <c r="F6" s="298">
        <f t="shared" si="1"/>
        <v>55131.58454</v>
      </c>
      <c r="G6" s="298">
        <f>C6*ILOG!O$2</f>
        <v>161765.4047</v>
      </c>
      <c r="H6" s="288">
        <f t="shared" si="2"/>
        <v>13480.45039</v>
      </c>
    </row>
    <row r="7">
      <c r="A7" s="18">
        <v>35.0</v>
      </c>
      <c r="B7" s="18">
        <v>26.0</v>
      </c>
      <c r="C7" s="298">
        <f t="shared" si="3"/>
        <v>4747251.12</v>
      </c>
      <c r="D7" s="95">
        <f>C7*'Пополнения'!M$4</f>
        <v>880810.5805</v>
      </c>
      <c r="E7" s="18">
        <v>520000.0</v>
      </c>
      <c r="F7" s="298">
        <f t="shared" si="1"/>
        <v>73400.88171</v>
      </c>
      <c r="G7" s="298">
        <f>C7*ILOG!O$2</f>
        <v>215370.6162</v>
      </c>
      <c r="H7" s="288">
        <f t="shared" si="2"/>
        <v>17947.55135</v>
      </c>
    </row>
    <row r="8">
      <c r="A8" s="18">
        <v>36.0</v>
      </c>
      <c r="B8" s="18">
        <v>27.0</v>
      </c>
      <c r="C8" s="298">
        <f t="shared" si="3"/>
        <v>6148061.701</v>
      </c>
      <c r="D8" s="95">
        <f>C8*'Пополнения'!M$4</f>
        <v>1140718.63</v>
      </c>
      <c r="E8" s="18">
        <v>520000.0</v>
      </c>
      <c r="F8" s="298">
        <f t="shared" si="1"/>
        <v>95059.88586</v>
      </c>
      <c r="G8" s="298">
        <f>C8*ILOG!O$2</f>
        <v>278921.8019</v>
      </c>
      <c r="H8" s="288">
        <f t="shared" si="2"/>
        <v>23243.4835</v>
      </c>
      <c r="J8" s="21"/>
      <c r="K8" s="21"/>
    </row>
    <row r="9">
      <c r="A9" s="18">
        <v>37.0</v>
      </c>
      <c r="B9" s="18">
        <v>28.0</v>
      </c>
      <c r="C9" s="298">
        <f t="shared" si="3"/>
        <v>7808780.331</v>
      </c>
      <c r="D9" s="95">
        <f>C9*'Пополнения'!M$4</f>
        <v>1448850.327</v>
      </c>
      <c r="E9" s="18">
        <v>520000.0</v>
      </c>
      <c r="F9" s="298">
        <f t="shared" si="1"/>
        <v>120737.5272</v>
      </c>
      <c r="G9" s="298">
        <f>C9*ILOG!O$2</f>
        <v>354264.3498</v>
      </c>
      <c r="H9" s="288">
        <f t="shared" si="2"/>
        <v>29522.02915</v>
      </c>
      <c r="J9" s="299"/>
      <c r="K9" s="299"/>
    </row>
    <row r="10">
      <c r="A10" s="18">
        <v>38.0</v>
      </c>
      <c r="B10" s="18">
        <v>29.0</v>
      </c>
      <c r="C10" s="298">
        <f t="shared" si="3"/>
        <v>9777630.658</v>
      </c>
      <c r="D10" s="95">
        <f>C10*'Пополнения'!M$4</f>
        <v>1814153.142</v>
      </c>
      <c r="E10" s="18">
        <v>520000.0</v>
      </c>
      <c r="F10" s="298">
        <f t="shared" si="1"/>
        <v>151179.4285</v>
      </c>
      <c r="G10" s="298">
        <f>C10*ILOG!O$2</f>
        <v>443586.043</v>
      </c>
      <c r="H10" s="288">
        <f t="shared" si="2"/>
        <v>36965.50358</v>
      </c>
      <c r="J10" s="299"/>
      <c r="K10" s="299"/>
    </row>
    <row r="11">
      <c r="A11" s="18">
        <v>39.0</v>
      </c>
      <c r="B11" s="18">
        <v>30.0</v>
      </c>
      <c r="C11" s="298">
        <f t="shared" si="3"/>
        <v>12111783.8</v>
      </c>
      <c r="D11" s="95">
        <f>C11*'Пополнения'!M$4</f>
        <v>2247234.673</v>
      </c>
      <c r="F11" s="298">
        <f t="shared" si="1"/>
        <v>187269.5561</v>
      </c>
      <c r="G11" s="298">
        <f>C11*ILOG!O$2</f>
        <v>549480.5886</v>
      </c>
      <c r="H11" s="288">
        <f t="shared" si="2"/>
        <v>45790.04905</v>
      </c>
    </row>
    <row r="12">
      <c r="A12" s="18">
        <v>40.0</v>
      </c>
      <c r="B12" s="18">
        <v>31.0</v>
      </c>
      <c r="C12" s="298">
        <f t="shared" si="3"/>
        <v>14359018.47</v>
      </c>
      <c r="D12" s="95">
        <f>C12*'Пополнения'!M$4</f>
        <v>2664189.249</v>
      </c>
      <c r="F12" s="298">
        <f t="shared" si="1"/>
        <v>222015.7707</v>
      </c>
      <c r="G12" s="298">
        <f>C12*ILOG!O$2</f>
        <v>651431.8661</v>
      </c>
      <c r="H12" s="288">
        <f t="shared" si="2"/>
        <v>54285.98884</v>
      </c>
    </row>
    <row r="13">
      <c r="A13" s="18">
        <v>41.0</v>
      </c>
      <c r="B13" s="18">
        <v>32.0</v>
      </c>
      <c r="C13" s="298">
        <f t="shared" si="3"/>
        <v>17023207.72</v>
      </c>
      <c r="D13" s="95">
        <f>C13*'Пополнения'!M$4</f>
        <v>3158506.069</v>
      </c>
      <c r="F13" s="298">
        <f t="shared" si="1"/>
        <v>263208.8391</v>
      </c>
      <c r="G13" s="298">
        <f>C13*ILOG!O$2</f>
        <v>772299.304</v>
      </c>
      <c r="H13" s="288">
        <f t="shared" si="2"/>
        <v>64358.27534</v>
      </c>
    </row>
    <row r="14">
      <c r="A14" s="18">
        <v>42.0</v>
      </c>
      <c r="B14" s="18">
        <v>33.0</v>
      </c>
      <c r="C14" s="298">
        <f t="shared" si="3"/>
        <v>20181713.79</v>
      </c>
      <c r="D14" s="95">
        <f>C14*'Пополнения'!M$4</f>
        <v>3744539.016</v>
      </c>
      <c r="F14" s="298">
        <f t="shared" si="1"/>
        <v>312044.918</v>
      </c>
      <c r="G14" s="298">
        <f>C14*ILOG!O$2</f>
        <v>915592.6292</v>
      </c>
      <c r="H14" s="288">
        <f t="shared" si="2"/>
        <v>76299.38576</v>
      </c>
    </row>
    <row r="15">
      <c r="A15" s="18">
        <v>43.0</v>
      </c>
      <c r="B15" s="18">
        <v>34.0</v>
      </c>
      <c r="C15" s="298">
        <f t="shared" si="3"/>
        <v>23926252.81</v>
      </c>
      <c r="D15" s="95">
        <f>C15*'Пополнения'!M$4</f>
        <v>4439305.209</v>
      </c>
      <c r="F15" s="298">
        <f t="shared" si="1"/>
        <v>369942.1007</v>
      </c>
      <c r="G15" s="298">
        <f>C15*ILOG!O$2</f>
        <v>1085472.767</v>
      </c>
      <c r="H15" s="288">
        <f t="shared" si="2"/>
        <v>90456.06393</v>
      </c>
    </row>
    <row r="16">
      <c r="A16" s="18">
        <v>44.0</v>
      </c>
      <c r="B16" s="18">
        <v>35.0</v>
      </c>
      <c r="C16" s="298">
        <f t="shared" si="3"/>
        <v>28365558.02</v>
      </c>
      <c r="D16" s="95">
        <f>C16*'Пополнения'!M$4</f>
        <v>5262979.141</v>
      </c>
      <c r="F16" s="298">
        <f t="shared" si="1"/>
        <v>438581.5951</v>
      </c>
      <c r="G16" s="298">
        <f>C16*ILOG!O$2</f>
        <v>1286872.667</v>
      </c>
      <c r="H16" s="288">
        <f t="shared" si="2"/>
        <v>107239.3889</v>
      </c>
    </row>
    <row r="17">
      <c r="A17" s="18">
        <v>45.0</v>
      </c>
      <c r="B17" s="18">
        <v>36.0</v>
      </c>
      <c r="C17" s="298">
        <f t="shared" si="3"/>
        <v>33628537.16</v>
      </c>
      <c r="D17" s="95">
        <f>C17*'Пополнения'!M$4</f>
        <v>6239478.508</v>
      </c>
      <c r="F17" s="298">
        <f t="shared" si="1"/>
        <v>519956.5423</v>
      </c>
      <c r="G17" s="298">
        <f>C17*ILOG!O$2</f>
        <v>1525640.541</v>
      </c>
      <c r="H17" s="288">
        <f t="shared" si="2"/>
        <v>127136.7118</v>
      </c>
    </row>
    <row r="18">
      <c r="A18" s="18">
        <v>46.0</v>
      </c>
      <c r="B18" s="18">
        <v>37.0</v>
      </c>
      <c r="C18" s="298">
        <f t="shared" si="3"/>
        <v>39868015.66</v>
      </c>
      <c r="D18" s="95">
        <f>C18*'Пополнения'!M$4</f>
        <v>7397158.72</v>
      </c>
      <c r="F18" s="298">
        <f t="shared" si="1"/>
        <v>616429.8934</v>
      </c>
      <c r="G18" s="298">
        <f>C18*ILOG!O$2</f>
        <v>1808709.689</v>
      </c>
      <c r="H18" s="288">
        <f t="shared" si="2"/>
        <v>150725.8074</v>
      </c>
    </row>
    <row r="19">
      <c r="A19" s="18">
        <v>47.0</v>
      </c>
      <c r="B19" s="18">
        <v>38.0</v>
      </c>
      <c r="C19" s="298">
        <f t="shared" si="3"/>
        <v>47265174.39</v>
      </c>
      <c r="D19" s="95">
        <f>C19*'Пополнения'!M$4</f>
        <v>8769636.287</v>
      </c>
      <c r="F19" s="298">
        <f t="shared" si="1"/>
        <v>730803.0239</v>
      </c>
      <c r="G19" s="298">
        <f>C19*ILOG!O$2</f>
        <v>2144299.822</v>
      </c>
      <c r="H19" s="288">
        <f t="shared" si="2"/>
        <v>178691.6518</v>
      </c>
    </row>
    <row r="20">
      <c r="A20" s="18">
        <v>48.0</v>
      </c>
      <c r="B20" s="18">
        <v>39.0</v>
      </c>
      <c r="C20" s="298">
        <f t="shared" si="3"/>
        <v>56034810.67</v>
      </c>
      <c r="D20" s="95">
        <f>C20*'Пополнения'!M$4</f>
        <v>10396764.96</v>
      </c>
      <c r="F20" s="298">
        <f t="shared" si="1"/>
        <v>866397.0802</v>
      </c>
      <c r="G20" s="298">
        <f>C20*ILOG!O$2</f>
        <v>2542155.743</v>
      </c>
      <c r="H20" s="288">
        <f t="shared" si="2"/>
        <v>211846.312</v>
      </c>
    </row>
    <row r="21">
      <c r="A21" s="18">
        <v>49.0</v>
      </c>
      <c r="B21" s="18">
        <v>40.0</v>
      </c>
      <c r="C21" s="298">
        <f t="shared" si="3"/>
        <v>66431575.63</v>
      </c>
      <c r="D21" s="95">
        <f>C21*'Пополнения'!M$4</f>
        <v>12325793.02</v>
      </c>
      <c r="F21" s="298">
        <f t="shared" si="1"/>
        <v>1027149.418</v>
      </c>
      <c r="G21" s="298">
        <f>C21*ILOG!O$2</f>
        <v>3013830.323</v>
      </c>
      <c r="H21" s="288">
        <f t="shared" si="2"/>
        <v>251152.5269</v>
      </c>
    </row>
    <row r="22">
      <c r="A22" s="18">
        <v>50.0</v>
      </c>
      <c r="B22" s="18">
        <v>41.0</v>
      </c>
      <c r="C22" s="298">
        <f t="shared" si="3"/>
        <v>78757368.65</v>
      </c>
      <c r="D22" s="95">
        <f>C22*'Пополнения'!M$4</f>
        <v>14612735.21</v>
      </c>
      <c r="F22" s="298">
        <f t="shared" si="1"/>
        <v>1217727.934</v>
      </c>
      <c r="G22" s="298">
        <f>C22*ILOG!O$2</f>
        <v>3573019.961</v>
      </c>
      <c r="H22" s="288">
        <f t="shared" si="2"/>
        <v>297751.6634</v>
      </c>
    </row>
    <row r="24">
      <c r="A24" s="21"/>
      <c r="B24" s="21"/>
    </row>
    <row r="26">
      <c r="C26" s="27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57"/>
    <col customWidth="1" min="2" max="2" width="7.57"/>
    <col customWidth="1" min="3" max="4" width="6.57"/>
    <col customWidth="1" min="5" max="5" width="7.14"/>
    <col customWidth="1" min="6" max="6" width="8.0"/>
    <col customWidth="1" min="7" max="7" width="7.43"/>
    <col customWidth="1" min="8" max="9" width="6.43"/>
    <col customWidth="1" min="10" max="10" width="7.14"/>
  </cols>
  <sheetData>
    <row r="1">
      <c r="A1" s="18" t="s">
        <v>103</v>
      </c>
      <c r="B1" s="18" t="s">
        <v>99</v>
      </c>
      <c r="C1" s="18" t="s">
        <v>104</v>
      </c>
      <c r="D1" s="18" t="s">
        <v>105</v>
      </c>
      <c r="E1" s="18" t="s">
        <v>106</v>
      </c>
      <c r="F1" s="18" t="s">
        <v>63</v>
      </c>
      <c r="G1" s="18" t="s">
        <v>99</v>
      </c>
      <c r="H1" s="18" t="s">
        <v>104</v>
      </c>
      <c r="I1" s="18" t="s">
        <v>105</v>
      </c>
      <c r="J1" s="18" t="s">
        <v>106</v>
      </c>
    </row>
    <row r="2">
      <c r="A2" s="113">
        <v>43739.0</v>
      </c>
      <c r="B2" s="99">
        <f> 27000 + 43000 + 15000</f>
        <v>85000</v>
      </c>
      <c r="C2" s="300">
        <f> (883.93 - 115) + (216 - 28)</f>
        <v>956.93</v>
      </c>
      <c r="D2" s="98">
        <v>0.0</v>
      </c>
      <c r="E2" s="300">
        <f> F2 - D2 - C2 - B2</f>
        <v>-456.93</v>
      </c>
      <c r="F2" s="301">
        <v>85500.0</v>
      </c>
      <c r="G2" s="99">
        <f t="shared" ref="G2:J2" si="1">B2</f>
        <v>85000</v>
      </c>
      <c r="H2" s="300">
        <f t="shared" si="1"/>
        <v>956.93</v>
      </c>
      <c r="I2" s="99">
        <f t="shared" si="1"/>
        <v>0</v>
      </c>
      <c r="J2" s="302">
        <f t="shared" si="1"/>
        <v>-456.93</v>
      </c>
      <c r="K2" s="27"/>
    </row>
    <row r="3">
      <c r="A3" s="303">
        <v>43770.0</v>
      </c>
      <c r="B3" s="18">
        <v>0.0</v>
      </c>
      <c r="C3" s="304">
        <v>0.0</v>
      </c>
      <c r="D3" s="18">
        <v>0.0</v>
      </c>
      <c r="E3" s="95">
        <f t="shared" ref="E3:E27" si="3"> F3 - D3 - C3 - B3 - F2</f>
        <v>981</v>
      </c>
      <c r="F3" s="304">
        <v>86481.0</v>
      </c>
      <c r="G3" s="57">
        <f t="shared" ref="G3:J3" si="2">G2+B3</f>
        <v>85000</v>
      </c>
      <c r="H3" s="95">
        <f t="shared" si="2"/>
        <v>956.93</v>
      </c>
      <c r="I3" s="57">
        <f t="shared" si="2"/>
        <v>0</v>
      </c>
      <c r="J3" s="305">
        <f t="shared" si="2"/>
        <v>524.07</v>
      </c>
      <c r="K3" s="27">
        <f t="shared" ref="K3:K27" si="5">E3/F2</f>
        <v>0.01147368421</v>
      </c>
    </row>
    <row r="4">
      <c r="A4" s="114">
        <v>43800.0</v>
      </c>
      <c r="B4" s="115">
        <f> 10000 + 5000 + 10000</f>
        <v>25000</v>
      </c>
      <c r="C4" s="306">
        <v>0.0</v>
      </c>
      <c r="D4" s="116">
        <v>0.0</v>
      </c>
      <c r="E4" s="307">
        <f t="shared" si="3"/>
        <v>6309.32</v>
      </c>
      <c r="F4" s="306">
        <v>117790.32</v>
      </c>
      <c r="G4" s="115">
        <f t="shared" ref="G4:J4" si="4">G3+B4</f>
        <v>110000</v>
      </c>
      <c r="H4" s="307">
        <f t="shared" si="4"/>
        <v>956.93</v>
      </c>
      <c r="I4" s="115">
        <f t="shared" si="4"/>
        <v>0</v>
      </c>
      <c r="J4" s="308">
        <f t="shared" si="4"/>
        <v>6833.39</v>
      </c>
      <c r="K4" s="27">
        <f t="shared" si="5"/>
        <v>0.07295614066</v>
      </c>
    </row>
    <row r="5">
      <c r="A5" s="113">
        <v>43831.0</v>
      </c>
      <c r="B5" s="98">
        <v>0.0</v>
      </c>
      <c r="C5" s="300">
        <f> (604.09 - 79) + (397.5 - 49) + (584.64 - 76) + (816.2 - 106)</f>
        <v>2092.43</v>
      </c>
      <c r="D5" s="98">
        <v>0.0</v>
      </c>
      <c r="E5" s="300">
        <f t="shared" si="3"/>
        <v>6290.25</v>
      </c>
      <c r="F5" s="301">
        <v>126173.0</v>
      </c>
      <c r="G5" s="99">
        <f t="shared" ref="G5:J5" si="6">G4+B5</f>
        <v>110000</v>
      </c>
      <c r="H5" s="300">
        <f t="shared" si="6"/>
        <v>3049.36</v>
      </c>
      <c r="I5" s="99">
        <f t="shared" si="6"/>
        <v>0</v>
      </c>
      <c r="J5" s="302">
        <f t="shared" si="6"/>
        <v>13123.64</v>
      </c>
      <c r="K5" s="27">
        <f t="shared" si="5"/>
        <v>0.0534020962</v>
      </c>
    </row>
    <row r="6">
      <c r="A6" s="303">
        <v>43862.0</v>
      </c>
      <c r="B6" s="18">
        <v>0.0</v>
      </c>
      <c r="C6" s="95">
        <f> (192 - 25)</f>
        <v>167</v>
      </c>
      <c r="D6" s="18">
        <v>0.0</v>
      </c>
      <c r="E6" s="95">
        <f t="shared" si="3"/>
        <v>-9286</v>
      </c>
      <c r="F6" s="304">
        <v>117054.0</v>
      </c>
      <c r="G6" s="57">
        <f t="shared" ref="G6:J6" si="7">G5+B6</f>
        <v>110000</v>
      </c>
      <c r="H6" s="95">
        <f t="shared" si="7"/>
        <v>3216.36</v>
      </c>
      <c r="I6" s="57">
        <f t="shared" si="7"/>
        <v>0</v>
      </c>
      <c r="J6" s="305">
        <f t="shared" si="7"/>
        <v>3837.64</v>
      </c>
      <c r="K6" s="27">
        <f t="shared" si="5"/>
        <v>-0.07359736235</v>
      </c>
    </row>
    <row r="7">
      <c r="A7" s="303">
        <v>43891.0</v>
      </c>
      <c r="B7" s="18">
        <v>0.0</v>
      </c>
      <c r="C7" s="304">
        <v>0.0</v>
      </c>
      <c r="D7" s="18">
        <v>0.0</v>
      </c>
      <c r="E7" s="95">
        <f t="shared" si="3"/>
        <v>-18157.9</v>
      </c>
      <c r="F7" s="304">
        <v>98896.1</v>
      </c>
      <c r="G7" s="57">
        <f t="shared" ref="G7:J7" si="8">G6+B7</f>
        <v>110000</v>
      </c>
      <c r="H7" s="95">
        <f t="shared" si="8"/>
        <v>3216.36</v>
      </c>
      <c r="I7" s="57">
        <f t="shared" si="8"/>
        <v>0</v>
      </c>
      <c r="J7" s="305">
        <f t="shared" si="8"/>
        <v>-14320.26</v>
      </c>
      <c r="K7" s="27">
        <f t="shared" si="5"/>
        <v>-0.1551241307</v>
      </c>
    </row>
    <row r="8">
      <c r="A8" s="303">
        <v>43922.0</v>
      </c>
      <c r="B8" s="18">
        <v>0.0</v>
      </c>
      <c r="C8" s="304">
        <v>0.0</v>
      </c>
      <c r="D8" s="18">
        <v>0.0</v>
      </c>
      <c r="E8" s="95">
        <f t="shared" si="3"/>
        <v>7312.9</v>
      </c>
      <c r="F8" s="304">
        <v>106209.0</v>
      </c>
      <c r="G8" s="57">
        <f t="shared" ref="G8:J8" si="9">G7+B8</f>
        <v>110000</v>
      </c>
      <c r="H8" s="95">
        <f t="shared" si="9"/>
        <v>3216.36</v>
      </c>
      <c r="I8" s="57">
        <f t="shared" si="9"/>
        <v>0</v>
      </c>
      <c r="J8" s="305">
        <f t="shared" si="9"/>
        <v>-7007.36</v>
      </c>
      <c r="K8" s="27">
        <f t="shared" si="5"/>
        <v>0.07394528197</v>
      </c>
    </row>
    <row r="9">
      <c r="A9" s="303">
        <v>43952.0</v>
      </c>
      <c r="B9" s="18">
        <v>0.0</v>
      </c>
      <c r="C9" s="95">
        <f> (690 - 90)</f>
        <v>600</v>
      </c>
      <c r="D9" s="18">
        <v>0.0</v>
      </c>
      <c r="E9" s="95">
        <f t="shared" si="3"/>
        <v>5165</v>
      </c>
      <c r="F9" s="304">
        <v>111974.0</v>
      </c>
      <c r="G9" s="57">
        <f t="shared" ref="G9:J9" si="10">G8+B9</f>
        <v>110000</v>
      </c>
      <c r="H9" s="95">
        <f t="shared" si="10"/>
        <v>3816.36</v>
      </c>
      <c r="I9" s="57">
        <f t="shared" si="10"/>
        <v>0</v>
      </c>
      <c r="J9" s="305">
        <f t="shared" si="10"/>
        <v>-1842.36</v>
      </c>
      <c r="K9" s="27">
        <f t="shared" si="5"/>
        <v>0.04863053037</v>
      </c>
    </row>
    <row r="10">
      <c r="A10" s="303">
        <v>43983.0</v>
      </c>
      <c r="B10" s="18">
        <v>0.0</v>
      </c>
      <c r="C10" s="95">
        <f> (557.2 - 72) + (72 - 9)</f>
        <v>548.2</v>
      </c>
      <c r="D10" s="18">
        <v>0.0</v>
      </c>
      <c r="E10" s="95">
        <f t="shared" si="3"/>
        <v>1286.8</v>
      </c>
      <c r="F10" s="304">
        <v>113809.0</v>
      </c>
      <c r="G10" s="57">
        <f t="shared" ref="G10:J10" si="11">G9+B10</f>
        <v>110000</v>
      </c>
      <c r="H10" s="95">
        <f t="shared" si="11"/>
        <v>4364.56</v>
      </c>
      <c r="I10" s="57">
        <f t="shared" si="11"/>
        <v>0</v>
      </c>
      <c r="J10" s="305">
        <f t="shared" si="11"/>
        <v>-555.56</v>
      </c>
      <c r="K10" s="27">
        <f t="shared" si="5"/>
        <v>0.01149195349</v>
      </c>
    </row>
    <row r="11">
      <c r="A11" s="303">
        <v>44013.0</v>
      </c>
      <c r="B11" s="18">
        <v>0.0</v>
      </c>
      <c r="C11" s="95">
        <f> (24 - 2) + (617.1 - 80) + (312 - 41)</f>
        <v>830.1</v>
      </c>
      <c r="D11" s="18">
        <v>0.0</v>
      </c>
      <c r="E11" s="95">
        <f t="shared" si="3"/>
        <v>1274.9</v>
      </c>
      <c r="F11" s="304">
        <v>115914.0</v>
      </c>
      <c r="G11" s="57">
        <f t="shared" ref="G11:J11" si="12">G10+B11</f>
        <v>110000</v>
      </c>
      <c r="H11" s="95">
        <f t="shared" si="12"/>
        <v>5194.66</v>
      </c>
      <c r="I11" s="57">
        <f t="shared" si="12"/>
        <v>0</v>
      </c>
      <c r="J11" s="305">
        <f t="shared" si="12"/>
        <v>719.34</v>
      </c>
      <c r="K11" s="27">
        <f t="shared" si="5"/>
        <v>0.01120210177</v>
      </c>
    </row>
    <row r="12">
      <c r="A12" s="303">
        <v>44044.0</v>
      </c>
      <c r="B12" s="18">
        <v>0.0</v>
      </c>
      <c r="C12" s="95">
        <f> (2295 - 298)</f>
        <v>1997</v>
      </c>
      <c r="D12" s="18">
        <v>14300.0</v>
      </c>
      <c r="E12" s="95">
        <f t="shared" si="3"/>
        <v>1900</v>
      </c>
      <c r="F12" s="304">
        <v>134111.0</v>
      </c>
      <c r="G12" s="57">
        <f t="shared" ref="G12:J12" si="13">G11+B12</f>
        <v>110000</v>
      </c>
      <c r="H12" s="95">
        <f t="shared" si="13"/>
        <v>7191.66</v>
      </c>
      <c r="I12" s="57">
        <f t="shared" si="13"/>
        <v>14300</v>
      </c>
      <c r="J12" s="305">
        <f t="shared" si="13"/>
        <v>2619.34</v>
      </c>
      <c r="K12" s="27">
        <f t="shared" si="5"/>
        <v>0.01639146264</v>
      </c>
    </row>
    <row r="13">
      <c r="A13" s="303">
        <v>44075.0</v>
      </c>
      <c r="B13" s="18">
        <f> 10000 + 10000</f>
        <v>20000</v>
      </c>
      <c r="C13" s="304">
        <v>0.0</v>
      </c>
      <c r="D13" s="18">
        <v>0.0</v>
      </c>
      <c r="E13" s="95">
        <f t="shared" si="3"/>
        <v>-1407</v>
      </c>
      <c r="F13" s="304">
        <v>152704.0</v>
      </c>
      <c r="G13" s="57">
        <f t="shared" ref="G13:J13" si="14">G12+B13</f>
        <v>130000</v>
      </c>
      <c r="H13" s="95">
        <f t="shared" si="14"/>
        <v>7191.66</v>
      </c>
      <c r="I13" s="57">
        <f t="shared" si="14"/>
        <v>14300</v>
      </c>
      <c r="J13" s="305">
        <f t="shared" si="14"/>
        <v>1212.34</v>
      </c>
      <c r="K13" s="27">
        <f t="shared" si="5"/>
        <v>-0.01049130944</v>
      </c>
    </row>
    <row r="14">
      <c r="A14" s="303">
        <v>44105.0</v>
      </c>
      <c r="B14" s="57">
        <f> 20000 + 10000</f>
        <v>30000</v>
      </c>
      <c r="C14" s="95">
        <f> (460 - 60) + (446.5 - 55) + (1309 - 169) + (238.56 - 31) + (132 - 17)</f>
        <v>2254.06</v>
      </c>
      <c r="D14" s="18">
        <v>0.0</v>
      </c>
      <c r="E14" s="95">
        <f t="shared" si="3"/>
        <v>-4933.06</v>
      </c>
      <c r="F14" s="304">
        <v>180025.0</v>
      </c>
      <c r="G14" s="57">
        <f t="shared" ref="G14:J14" si="15">G13+B14</f>
        <v>160000</v>
      </c>
      <c r="H14" s="95">
        <f t="shared" si="15"/>
        <v>9445.72</v>
      </c>
      <c r="I14" s="57">
        <f t="shared" si="15"/>
        <v>14300</v>
      </c>
      <c r="J14" s="305">
        <f t="shared" si="15"/>
        <v>-3720.72</v>
      </c>
      <c r="K14" s="27">
        <f t="shared" si="5"/>
        <v>-0.03230472024</v>
      </c>
    </row>
    <row r="15">
      <c r="A15" s="303">
        <v>44136.0</v>
      </c>
      <c r="B15" s="18">
        <v>0.0</v>
      </c>
      <c r="C15" s="95">
        <f> 2.81 * 76.31</f>
        <v>214.4311</v>
      </c>
      <c r="D15" s="18">
        <v>0.0</v>
      </c>
      <c r="E15" s="95">
        <f t="shared" si="3"/>
        <v>14480.5689</v>
      </c>
      <c r="F15" s="304">
        <v>194720.0</v>
      </c>
      <c r="G15" s="57">
        <f t="shared" ref="G15:J15" si="16">G14+B15</f>
        <v>160000</v>
      </c>
      <c r="H15" s="95">
        <f t="shared" si="16"/>
        <v>9660.1511</v>
      </c>
      <c r="I15" s="57">
        <f t="shared" si="16"/>
        <v>14300</v>
      </c>
      <c r="J15" s="305">
        <f t="shared" si="16"/>
        <v>10759.8489</v>
      </c>
      <c r="K15" s="27">
        <f t="shared" si="5"/>
        <v>0.08043643327</v>
      </c>
    </row>
    <row r="16">
      <c r="A16" s="114">
        <v>44166.0</v>
      </c>
      <c r="B16" s="115">
        <f> 225000</f>
        <v>225000</v>
      </c>
      <c r="C16" s="307">
        <f> 2.35 * 73.38 + (492 - 64) + (623.35 - 81)</f>
        <v>1142.793</v>
      </c>
      <c r="D16" s="116">
        <v>0.0</v>
      </c>
      <c r="E16" s="307">
        <f t="shared" si="3"/>
        <v>234.207</v>
      </c>
      <c r="F16" s="306">
        <v>421097.0</v>
      </c>
      <c r="G16" s="115">
        <f t="shared" ref="G16:J16" si="17">G15+B16</f>
        <v>385000</v>
      </c>
      <c r="H16" s="307">
        <f t="shared" si="17"/>
        <v>10802.9441</v>
      </c>
      <c r="I16" s="115">
        <f t="shared" si="17"/>
        <v>14300</v>
      </c>
      <c r="J16" s="308">
        <f t="shared" si="17"/>
        <v>10994.0559</v>
      </c>
      <c r="K16" s="27">
        <f t="shared" si="5"/>
        <v>0.00120278862</v>
      </c>
    </row>
    <row r="17">
      <c r="A17" s="113">
        <v>44197.0</v>
      </c>
      <c r="B17" s="99">
        <f> 40000</f>
        <v>40000</v>
      </c>
      <c r="C17" s="301">
        <v>0.0</v>
      </c>
      <c r="D17" s="98">
        <v>0.0</v>
      </c>
      <c r="E17" s="300">
        <f t="shared" si="3"/>
        <v>14161</v>
      </c>
      <c r="F17" s="301">
        <v>475258.0</v>
      </c>
      <c r="G17" s="99">
        <f t="shared" ref="G17:J17" si="18">G16+B17</f>
        <v>425000</v>
      </c>
      <c r="H17" s="300">
        <f t="shared" si="18"/>
        <v>10802.9441</v>
      </c>
      <c r="I17" s="99">
        <f t="shared" si="18"/>
        <v>14300</v>
      </c>
      <c r="J17" s="302">
        <f t="shared" si="18"/>
        <v>25155.0559</v>
      </c>
      <c r="K17" s="27">
        <f t="shared" si="5"/>
        <v>0.03362883136</v>
      </c>
    </row>
    <row r="18">
      <c r="A18" s="303">
        <v>44228.0</v>
      </c>
      <c r="B18" s="304">
        <v>40000.0</v>
      </c>
      <c r="C18" s="304">
        <f> (6.55 * 75.5) + 346.09</f>
        <v>840.615</v>
      </c>
      <c r="D18" s="304">
        <v>0.0</v>
      </c>
      <c r="E18" s="288">
        <f t="shared" si="3"/>
        <v>6841.385</v>
      </c>
      <c r="F18" s="309">
        <v>522940.0</v>
      </c>
      <c r="G18" s="95">
        <f t="shared" ref="G18:J18" si="19">G17+B18</f>
        <v>465000</v>
      </c>
      <c r="H18" s="95">
        <f t="shared" si="19"/>
        <v>11643.5591</v>
      </c>
      <c r="I18" s="95">
        <f t="shared" si="19"/>
        <v>14300</v>
      </c>
      <c r="J18" s="305">
        <f t="shared" si="19"/>
        <v>31996.4409</v>
      </c>
      <c r="K18" s="27">
        <f t="shared" si="5"/>
        <v>0.01439509698</v>
      </c>
    </row>
    <row r="19">
      <c r="A19" s="303">
        <v>44256.0</v>
      </c>
      <c r="B19" s="304">
        <v>50000.0</v>
      </c>
      <c r="C19" s="304">
        <f> 212.89 + 579.42</f>
        <v>792.31</v>
      </c>
      <c r="D19" s="304">
        <v>5000.0</v>
      </c>
      <c r="E19" s="95">
        <f t="shared" si="3"/>
        <v>22925.69</v>
      </c>
      <c r="F19" s="304">
        <v>601658.0</v>
      </c>
      <c r="G19" s="95">
        <f t="shared" ref="G19:J19" si="20">G18+B19</f>
        <v>515000</v>
      </c>
      <c r="H19" s="95">
        <f t="shared" si="20"/>
        <v>12435.8691</v>
      </c>
      <c r="I19" s="95">
        <f t="shared" si="20"/>
        <v>19300</v>
      </c>
      <c r="J19" s="305">
        <f t="shared" si="20"/>
        <v>54922.1309</v>
      </c>
      <c r="K19" s="27">
        <f t="shared" si="5"/>
        <v>0.04384000076</v>
      </c>
    </row>
    <row r="20">
      <c r="A20" s="303">
        <v>44287.0</v>
      </c>
      <c r="B20" s="304">
        <v>40000.0</v>
      </c>
      <c r="C20" s="304">
        <f> 212.89 + 268.32</f>
        <v>481.21</v>
      </c>
      <c r="D20" s="304">
        <v>10000.0</v>
      </c>
      <c r="E20" s="95">
        <f t="shared" si="3"/>
        <v>9744.79</v>
      </c>
      <c r="F20" s="304">
        <v>661884.0</v>
      </c>
      <c r="G20" s="95">
        <f t="shared" ref="G20:J20" si="21">G19+B20</f>
        <v>555000</v>
      </c>
      <c r="H20" s="95">
        <f t="shared" si="21"/>
        <v>12917.0791</v>
      </c>
      <c r="I20" s="95">
        <f t="shared" si="21"/>
        <v>29300</v>
      </c>
      <c r="J20" s="305">
        <f t="shared" si="21"/>
        <v>64666.9209</v>
      </c>
      <c r="K20" s="27">
        <f t="shared" si="5"/>
        <v>0.01619656017</v>
      </c>
    </row>
    <row r="21">
      <c r="A21" s="303">
        <v>44317.0</v>
      </c>
      <c r="B21" s="304">
        <v>40000.0</v>
      </c>
      <c r="C21" s="304">
        <f> (8.42 * 74.5) + (2028 - 264) + (5.85 * 73.72) + (2992 - 389)</f>
        <v>5425.552</v>
      </c>
      <c r="D21" s="304">
        <v>10000.0</v>
      </c>
      <c r="E21" s="95">
        <f t="shared" si="3"/>
        <v>874.448</v>
      </c>
      <c r="F21" s="304">
        <v>718184.0</v>
      </c>
      <c r="G21" s="95">
        <f t="shared" ref="G21:J21" si="22">G20+B21</f>
        <v>595000</v>
      </c>
      <c r="H21" s="95">
        <f t="shared" si="22"/>
        <v>18342.6311</v>
      </c>
      <c r="I21" s="95">
        <f t="shared" si="22"/>
        <v>39300</v>
      </c>
      <c r="J21" s="305">
        <f t="shared" si="22"/>
        <v>65541.3689</v>
      </c>
      <c r="K21" s="27">
        <f t="shared" si="5"/>
        <v>0.00132114993</v>
      </c>
    </row>
    <row r="22">
      <c r="A22" s="303">
        <v>44348.0</v>
      </c>
      <c r="B22" s="304">
        <v>50000.0</v>
      </c>
      <c r="C22" s="304">
        <f> (2042.44 - 266) + 72.2*7.38 + 8.61*72.77 + (630 - 82)</f>
        <v>3483.8257</v>
      </c>
      <c r="D22" s="304">
        <v>12610.0</v>
      </c>
      <c r="E22" s="95">
        <f t="shared" si="3"/>
        <v>-6866.8257</v>
      </c>
      <c r="F22" s="304">
        <v>777411.0</v>
      </c>
      <c r="G22" s="95">
        <f t="shared" ref="G22:J22" si="23">G21+B22</f>
        <v>645000</v>
      </c>
      <c r="H22" s="95">
        <f t="shared" si="23"/>
        <v>21826.4568</v>
      </c>
      <c r="I22" s="95">
        <f t="shared" si="23"/>
        <v>51910</v>
      </c>
      <c r="J22" s="305">
        <f t="shared" si="23"/>
        <v>58674.5432</v>
      </c>
      <c r="K22" s="27">
        <f t="shared" si="5"/>
        <v>-0.009561373826</v>
      </c>
    </row>
    <row r="23">
      <c r="A23" s="303">
        <v>44378.0</v>
      </c>
      <c r="B23" s="304">
        <v>40000.0</v>
      </c>
      <c r="C23" s="304">
        <f> (4407.45 - 573) + (4.53 * 73.96) + (1050 - 137) + (3976.5 - 484) + (102 - 13) + (1254.6 - 163) + (8.36 * 73.15)</f>
        <v>10367.1228</v>
      </c>
      <c r="D23" s="304">
        <v>0.0</v>
      </c>
      <c r="E23" s="95">
        <f t="shared" si="3"/>
        <v>-9560.1228</v>
      </c>
      <c r="F23" s="304">
        <v>818218.0</v>
      </c>
      <c r="G23" s="95">
        <f t="shared" ref="G23:J23" si="24">G22+B23</f>
        <v>685000</v>
      </c>
      <c r="H23" s="95">
        <f t="shared" si="24"/>
        <v>32193.5796</v>
      </c>
      <c r="I23" s="95">
        <f t="shared" si="24"/>
        <v>51910</v>
      </c>
      <c r="J23" s="305">
        <f t="shared" si="24"/>
        <v>49114.4204</v>
      </c>
      <c r="K23" s="27">
        <f t="shared" si="5"/>
        <v>-0.01229738555</v>
      </c>
    </row>
    <row r="24">
      <c r="A24" s="303">
        <v>44409.0</v>
      </c>
      <c r="B24" s="304">
        <v>40000.0</v>
      </c>
      <c r="C24" s="304">
        <f> 3.78*72.9 + 4.77*73.49 + 9.83*73.5 + 7.02*74.02</f>
        <v>1868.2347</v>
      </c>
      <c r="D24" s="304">
        <v>0.0</v>
      </c>
      <c r="E24" s="95">
        <f t="shared" si="3"/>
        <v>5584.7653</v>
      </c>
      <c r="F24" s="304">
        <v>865671.0</v>
      </c>
      <c r="G24" s="95">
        <f t="shared" ref="G24:J24" si="25">G23+B24</f>
        <v>725000</v>
      </c>
      <c r="H24" s="95">
        <f t="shared" si="25"/>
        <v>34061.8143</v>
      </c>
      <c r="I24" s="95">
        <f t="shared" si="25"/>
        <v>51910</v>
      </c>
      <c r="J24" s="305">
        <f t="shared" si="25"/>
        <v>54699.1857</v>
      </c>
      <c r="K24" s="27">
        <f t="shared" si="5"/>
        <v>0.006825522416</v>
      </c>
    </row>
    <row r="25">
      <c r="A25" s="303">
        <v>44440.0</v>
      </c>
      <c r="B25" s="304">
        <v>50000.0</v>
      </c>
      <c r="C25" s="304">
        <f> 7.38 * 72.37 + 8.61 * 72.54</f>
        <v>1158.66</v>
      </c>
      <c r="D25" s="304">
        <v>0.0</v>
      </c>
      <c r="E25" s="95">
        <f t="shared" si="3"/>
        <v>-21164.66</v>
      </c>
      <c r="F25" s="304">
        <f>830420+65245</f>
        <v>895665</v>
      </c>
      <c r="G25" s="95">
        <f t="shared" ref="G25:J25" si="26">G24+B25</f>
        <v>775000</v>
      </c>
      <c r="H25" s="95">
        <f t="shared" si="26"/>
        <v>35220.4743</v>
      </c>
      <c r="I25" s="95">
        <f t="shared" si="26"/>
        <v>51910</v>
      </c>
      <c r="J25" s="305">
        <f t="shared" si="26"/>
        <v>33534.5257</v>
      </c>
      <c r="K25" s="27">
        <f t="shared" si="5"/>
        <v>-0.02444884951</v>
      </c>
    </row>
    <row r="26">
      <c r="A26" s="303">
        <v>44470.0</v>
      </c>
      <c r="B26" s="304">
        <v>40000.0</v>
      </c>
      <c r="C26" s="304">
        <f> (14.4*72.6075) + (6.21*72.3) + (4.91*72.03) + (1560+156-223) + (1582.5 - 195)</f>
        <v>4728.6983</v>
      </c>
      <c r="D26" s="304">
        <v>0.0</v>
      </c>
      <c r="E26" s="95">
        <f t="shared" si="3"/>
        <v>12420.8517</v>
      </c>
      <c r="F26" s="304">
        <f> 859295.64 + 93518.91</f>
        <v>952814.55</v>
      </c>
      <c r="G26" s="95">
        <f t="shared" ref="G26:J26" si="27">G25+B26</f>
        <v>815000</v>
      </c>
      <c r="H26" s="95">
        <f t="shared" si="27"/>
        <v>39949.1726</v>
      </c>
      <c r="I26" s="95">
        <f t="shared" si="27"/>
        <v>51910</v>
      </c>
      <c r="J26" s="305">
        <f t="shared" si="27"/>
        <v>45955.3774</v>
      </c>
      <c r="K26" s="27">
        <f t="shared" si="5"/>
        <v>0.01386774263</v>
      </c>
    </row>
    <row r="27">
      <c r="A27" s="303">
        <v>44501.0</v>
      </c>
      <c r="B27" s="304">
        <v>20000.0</v>
      </c>
      <c r="C27" s="304">
        <f> (231.28 + 1685.04 - 249) + 8.71*71.5 + 7.16*71.26 + 12.17*71.26</f>
        <v>3667.5408</v>
      </c>
      <c r="D27" s="304">
        <v>0.0</v>
      </c>
      <c r="E27" s="95">
        <f t="shared" si="3"/>
        <v>25754.055</v>
      </c>
      <c r="F27" s="304">
        <f>ILOG!Q2</f>
        <v>1002236.146</v>
      </c>
      <c r="G27" s="95">
        <f t="shared" ref="G27:J27" si="28">G26+B27</f>
        <v>835000</v>
      </c>
      <c r="H27" s="95">
        <f t="shared" si="28"/>
        <v>43616.7134</v>
      </c>
      <c r="I27" s="95">
        <f t="shared" si="28"/>
        <v>51910</v>
      </c>
      <c r="J27" s="305">
        <f t="shared" si="28"/>
        <v>71709.4324</v>
      </c>
      <c r="K27" s="27">
        <f t="shared" si="5"/>
        <v>0.02702945185</v>
      </c>
    </row>
    <row r="28">
      <c r="A28" s="114">
        <v>44531.0</v>
      </c>
      <c r="B28" s="306">
        <v>0.0</v>
      </c>
      <c r="C28" s="306">
        <v>0.0</v>
      </c>
      <c r="D28" s="306">
        <v>0.0</v>
      </c>
      <c r="E28" s="306">
        <v>0.0</v>
      </c>
      <c r="F28" s="306">
        <v>0.0</v>
      </c>
      <c r="G28" s="115"/>
      <c r="H28" s="115"/>
      <c r="I28" s="115"/>
      <c r="J28" s="117"/>
      <c r="K28" s="27"/>
    </row>
    <row r="29">
      <c r="B29" s="57">
        <f t="shared" ref="B29:E29" si="29"> SUM(B2:B28)</f>
        <v>835000</v>
      </c>
      <c r="C29" s="95">
        <f t="shared" si="29"/>
        <v>43616.7134</v>
      </c>
      <c r="D29" s="57">
        <f t="shared" si="29"/>
        <v>51910</v>
      </c>
      <c r="E29" s="95">
        <f t="shared" si="29"/>
        <v>71709.4324</v>
      </c>
    </row>
    <row r="30">
      <c r="B30" s="27">
        <f t="shared" ref="B30:E30" si="30">B29/SUM($B$29:$E$29)</f>
        <v>0.8331369842</v>
      </c>
      <c r="C30" s="27">
        <f t="shared" si="30"/>
        <v>0.04351939768</v>
      </c>
      <c r="D30" s="27">
        <f t="shared" si="30"/>
        <v>0.05179418066</v>
      </c>
      <c r="E30" s="27">
        <f t="shared" si="30"/>
        <v>0.07154943743</v>
      </c>
    </row>
    <row r="31">
      <c r="C31" s="27"/>
    </row>
  </sheetData>
  <conditionalFormatting sqref="C17:D24 E17:E27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C5:E16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drawing r:id="rId1"/>
</worksheet>
</file>